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IB'!$C$1:$C$72</definedName>
    <definedName name="ReportLinkMenu" localSheetId="27">TableXV!#REF!</definedName>
    <definedName name="SectionElements" localSheetId="27">TableXV!#REF!</definedName>
    <definedName name="Z_A374FC54_96E3_45F0_9C12_8450400C12DF_.wvu.Cols" localSheetId="20" hidden="1">TableIXC!$T:$T</definedName>
    <definedName name="Z_A374FC54_96E3_45F0_9C12_8450400C12DF_.wvu.FilterData" localSheetId="3" hidden="1">'Table IB'!$C$1:$C$72</definedName>
    <definedName name="Z_A374FC54_96E3_45F0_9C12_8450400C12DF_.wvu.Rows" localSheetId="14" hidden="1">'Table V'!$37:$44</definedName>
    <definedName name="Z_A374FC54_96E3_45F0_9C12_8450400C12DF_.wvu.Rows" localSheetId="33" hidden="1">TableXXI!$49:$49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K47" i="33"/>
  <c r="J47"/>
  <c r="K46"/>
  <c r="J46"/>
  <c r="J45"/>
  <c r="K45" s="1"/>
  <c r="K44"/>
  <c r="J44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J30" s="1"/>
  <c r="K31"/>
  <c r="K30" s="1"/>
  <c r="J31"/>
  <c r="O30"/>
  <c r="N30"/>
  <c r="M30"/>
  <c r="L30"/>
  <c r="I30"/>
  <c r="H30"/>
  <c r="G30"/>
  <c r="F30"/>
  <c r="E30"/>
  <c r="D30"/>
  <c r="C30"/>
  <c r="B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K17" s="1"/>
  <c r="J18"/>
  <c r="J17" s="1"/>
  <c r="O17"/>
  <c r="N17"/>
  <c r="M17"/>
  <c r="L17"/>
  <c r="I17"/>
  <c r="H17"/>
  <c r="G17"/>
  <c r="F17"/>
  <c r="E17"/>
  <c r="D17"/>
  <c r="C17"/>
  <c r="B17"/>
  <c r="U51" i="6" l="1"/>
  <c r="V51" s="1"/>
  <c r="M51"/>
  <c r="N51" s="1"/>
  <c r="J51"/>
  <c r="G51"/>
  <c r="D51"/>
  <c r="K47" i="36"/>
  <c r="I47"/>
  <c r="F47"/>
  <c r="K47" i="35"/>
  <c r="I47"/>
  <c r="F47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AO48" i="7" l="1"/>
  <c r="AN48"/>
  <c r="L48" l="1"/>
  <c r="K48" s="1"/>
  <c r="F48" l="1"/>
  <c r="Q47" i="41"/>
  <c r="P47"/>
  <c r="P46"/>
  <c r="Q46" s="1"/>
  <c r="Q45"/>
  <c r="P45"/>
  <c r="P44"/>
  <c r="Q44" s="1"/>
  <c r="Q43"/>
  <c r="P43"/>
  <c r="P41"/>
  <c r="Q41" s="1"/>
  <c r="Q29" s="1"/>
  <c r="Q40"/>
  <c r="P40"/>
  <c r="P39"/>
  <c r="Q39" s="1"/>
  <c r="Q38"/>
  <c r="P38"/>
  <c r="P37"/>
  <c r="Q37" s="1"/>
  <c r="Q36"/>
  <c r="P36"/>
  <c r="Q35"/>
  <c r="P35"/>
  <c r="Q34"/>
  <c r="P34"/>
  <c r="P33"/>
  <c r="Q33" s="1"/>
  <c r="Q32"/>
  <c r="P32"/>
  <c r="P31"/>
  <c r="Q31" s="1"/>
  <c r="Q30"/>
  <c r="P30"/>
  <c r="P29"/>
  <c r="O29"/>
  <c r="N29"/>
  <c r="M29"/>
  <c r="L29"/>
  <c r="K29"/>
  <c r="J29"/>
  <c r="I29"/>
  <c r="H29"/>
  <c r="G29"/>
  <c r="F29"/>
  <c r="E29"/>
  <c r="D29"/>
  <c r="C29"/>
  <c r="B29"/>
  <c r="P28"/>
  <c r="Q28" s="1"/>
  <c r="Q16" s="1"/>
  <c r="Q27"/>
  <c r="P27"/>
  <c r="P26"/>
  <c r="Q26" s="1"/>
  <c r="Q25"/>
  <c r="P25"/>
  <c r="Q23"/>
  <c r="P23"/>
  <c r="Q22"/>
  <c r="P22"/>
  <c r="P21"/>
  <c r="Q21" s="1"/>
  <c r="Q20"/>
  <c r="P20"/>
  <c r="P19"/>
  <c r="Q19" s="1"/>
  <c r="Q18"/>
  <c r="P18"/>
  <c r="Q17"/>
  <c r="P17"/>
  <c r="O16"/>
  <c r="N16"/>
  <c r="M16"/>
  <c r="L16"/>
  <c r="K16"/>
  <c r="J16"/>
  <c r="I16"/>
  <c r="H16"/>
  <c r="G16"/>
  <c r="F16"/>
  <c r="E16"/>
  <c r="D16"/>
  <c r="C16"/>
  <c r="B16"/>
  <c r="D45" i="40"/>
  <c r="E44"/>
  <c r="D44"/>
  <c r="E43"/>
  <c r="D43"/>
  <c r="E42"/>
  <c r="D42"/>
  <c r="E40"/>
  <c r="D40"/>
  <c r="D28" s="1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C28"/>
  <c r="B28"/>
  <c r="E27"/>
  <c r="E15" s="1"/>
  <c r="D27"/>
  <c r="D15" s="1"/>
  <c r="E26"/>
  <c r="D26"/>
  <c r="E25"/>
  <c r="D25"/>
  <c r="E24"/>
  <c r="D24"/>
  <c r="E23"/>
  <c r="D23"/>
  <c r="E22"/>
  <c r="D22"/>
  <c r="E21"/>
  <c r="D21"/>
  <c r="C15"/>
  <c r="B15"/>
  <c r="I11"/>
  <c r="I10"/>
  <c r="I9"/>
  <c r="I8"/>
  <c r="I7"/>
  <c r="J6"/>
  <c r="I6"/>
  <c r="J5"/>
  <c r="I5"/>
  <c r="I4"/>
  <c r="I12" s="1"/>
  <c r="I13" s="1"/>
  <c r="N40" i="64"/>
  <c r="M40"/>
  <c r="I40"/>
  <c r="F40"/>
  <c r="O40" s="1"/>
  <c r="R40" s="1"/>
  <c r="N39"/>
  <c r="O39" s="1"/>
  <c r="R39" s="1"/>
  <c r="M39"/>
  <c r="I39"/>
  <c r="F39"/>
  <c r="N38"/>
  <c r="M38"/>
  <c r="O38" s="1"/>
  <c r="R38" s="1"/>
  <c r="I38"/>
  <c r="F38"/>
  <c r="N37"/>
  <c r="O37" s="1"/>
  <c r="R37" s="1"/>
  <c r="M37"/>
  <c r="I37"/>
  <c r="F37"/>
  <c r="N35"/>
  <c r="O35" s="1"/>
  <c r="R35" s="1"/>
  <c r="M35"/>
  <c r="I35"/>
  <c r="F35"/>
  <c r="N34"/>
  <c r="O34" s="1"/>
  <c r="R34" s="1"/>
  <c r="M34"/>
  <c r="I34"/>
  <c r="F34"/>
  <c r="R33"/>
  <c r="O33"/>
  <c r="N33"/>
  <c r="M33"/>
  <c r="I33"/>
  <c r="F33"/>
  <c r="N32"/>
  <c r="M32"/>
  <c r="I32"/>
  <c r="O32" s="1"/>
  <c r="R32" s="1"/>
  <c r="F32"/>
  <c r="N31"/>
  <c r="M31"/>
  <c r="O31" s="1"/>
  <c r="R31" s="1"/>
  <c r="I31"/>
  <c r="F31"/>
  <c r="N30"/>
  <c r="O30" s="1"/>
  <c r="R30" s="1"/>
  <c r="M30"/>
  <c r="I30"/>
  <c r="F30"/>
  <c r="N29"/>
  <c r="M29"/>
  <c r="O29" s="1"/>
  <c r="R29" s="1"/>
  <c r="I29"/>
  <c r="F29"/>
  <c r="R28"/>
  <c r="O28"/>
  <c r="N28"/>
  <c r="M28"/>
  <c r="I28"/>
  <c r="F28"/>
  <c r="N27"/>
  <c r="O27" s="1"/>
  <c r="R27" s="1"/>
  <c r="M27"/>
  <c r="I27"/>
  <c r="F27"/>
  <c r="N26"/>
  <c r="M26"/>
  <c r="I26"/>
  <c r="O26" s="1"/>
  <c r="R26" s="1"/>
  <c r="F26"/>
  <c r="N25"/>
  <c r="O25" s="1"/>
  <c r="R25" s="1"/>
  <c r="M25"/>
  <c r="M23" s="1"/>
  <c r="I25"/>
  <c r="I23" s="1"/>
  <c r="F25"/>
  <c r="N24"/>
  <c r="O24" s="1"/>
  <c r="M24"/>
  <c r="I24"/>
  <c r="F24"/>
  <c r="F23" s="1"/>
  <c r="Q23"/>
  <c r="P23"/>
  <c r="L23"/>
  <c r="K23"/>
  <c r="J23"/>
  <c r="H23"/>
  <c r="G23"/>
  <c r="E23"/>
  <c r="D23"/>
  <c r="C23"/>
  <c r="B23"/>
  <c r="N22"/>
  <c r="M22"/>
  <c r="O22" s="1"/>
  <c r="R22" s="1"/>
  <c r="I22"/>
  <c r="F22"/>
  <c r="R21"/>
  <c r="O21"/>
  <c r="N21"/>
  <c r="M21"/>
  <c r="I21"/>
  <c r="F21"/>
  <c r="N20"/>
  <c r="O20" s="1"/>
  <c r="R20" s="1"/>
  <c r="M20"/>
  <c r="I20"/>
  <c r="F20"/>
  <c r="N19"/>
  <c r="M19"/>
  <c r="I19"/>
  <c r="O19" s="1"/>
  <c r="R19" s="1"/>
  <c r="F19"/>
  <c r="N18"/>
  <c r="M18"/>
  <c r="O18" s="1"/>
  <c r="R18" s="1"/>
  <c r="I18"/>
  <c r="F18"/>
  <c r="N17"/>
  <c r="O17" s="1"/>
  <c r="R17" s="1"/>
  <c r="M17"/>
  <c r="I17"/>
  <c r="F17"/>
  <c r="O16"/>
  <c r="R16" s="1"/>
  <c r="N16"/>
  <c r="N10" s="1"/>
  <c r="M16"/>
  <c r="I16"/>
  <c r="F16"/>
  <c r="N15"/>
  <c r="O15" s="1"/>
  <c r="R15" s="1"/>
  <c r="M15"/>
  <c r="I15"/>
  <c r="F15"/>
  <c r="R14"/>
  <c r="O14"/>
  <c r="N14"/>
  <c r="M14"/>
  <c r="I14"/>
  <c r="F14"/>
  <c r="N13"/>
  <c r="M13"/>
  <c r="I13"/>
  <c r="I10" s="1"/>
  <c r="F13"/>
  <c r="N12"/>
  <c r="M12"/>
  <c r="I12"/>
  <c r="F12"/>
  <c r="O12" s="1"/>
  <c r="R12" s="1"/>
  <c r="S12" s="1"/>
  <c r="N11"/>
  <c r="O11" s="1"/>
  <c r="M11"/>
  <c r="M10" s="1"/>
  <c r="I11"/>
  <c r="F11"/>
  <c r="F10" s="1"/>
  <c r="Q10"/>
  <c r="P10"/>
  <c r="L10"/>
  <c r="K10"/>
  <c r="J10"/>
  <c r="H10"/>
  <c r="G10"/>
  <c r="E10"/>
  <c r="D10"/>
  <c r="C10"/>
  <c r="B10"/>
  <c r="N7"/>
  <c r="M7"/>
  <c r="I7"/>
  <c r="O7" s="1"/>
  <c r="F7"/>
  <c r="P16" i="41" l="1"/>
  <c r="I14" i="40"/>
  <c r="I15" s="1"/>
  <c r="I16" s="1"/>
  <c r="I17" s="1"/>
  <c r="I18" s="1"/>
  <c r="I19" s="1"/>
  <c r="I20" s="1"/>
  <c r="I21" s="1"/>
  <c r="I22" s="1"/>
  <c r="I23" s="1"/>
  <c r="I24" s="1"/>
  <c r="I25" s="1"/>
  <c r="R11" i="64"/>
  <c r="R24"/>
  <c r="R23" s="1"/>
  <c r="O23"/>
  <c r="S15"/>
  <c r="S16" s="1"/>
  <c r="S17" s="1"/>
  <c r="S18" s="1"/>
  <c r="S19" s="1"/>
  <c r="S20" s="1"/>
  <c r="S21" s="1"/>
  <c r="S22" s="1"/>
  <c r="S13"/>
  <c r="S14" s="1"/>
  <c r="O13"/>
  <c r="R13" s="1"/>
  <c r="N23"/>
  <c r="S10" l="1"/>
  <c r="S24"/>
  <c r="S25" s="1"/>
  <c r="S26" s="1"/>
  <c r="S27" s="1"/>
  <c r="S28" s="1"/>
  <c r="S29" s="1"/>
  <c r="S30" s="1"/>
  <c r="S31" s="1"/>
  <c r="S32" s="1"/>
  <c r="S33" s="1"/>
  <c r="S34" s="1"/>
  <c r="S35" s="1"/>
  <c r="R10"/>
  <c r="O10"/>
  <c r="S37" l="1"/>
  <c r="S38" s="1"/>
  <c r="S39" s="1"/>
  <c r="S40" s="1"/>
  <c r="S23"/>
  <c r="I49" i="5" l="1"/>
  <c r="P49" s="1"/>
  <c r="R49" s="1"/>
  <c r="S49" s="1"/>
  <c r="E49"/>
  <c r="AM48" i="7"/>
  <c r="O48"/>
  <c r="U46" i="45" l="1"/>
  <c r="BX48" i="1" l="1"/>
  <c r="BV48"/>
  <c r="BU48"/>
  <c r="BC48"/>
  <c r="AZ48"/>
  <c r="AZ47"/>
  <c r="AY48"/>
  <c r="AY45"/>
  <c r="AY46"/>
  <c r="AY36"/>
  <c r="AY47"/>
  <c r="BA48"/>
  <c r="L39" i="61" l="1"/>
  <c r="F39"/>
  <c r="J40" i="60"/>
  <c r="E40"/>
  <c r="O49" i="5" l="1"/>
  <c r="M49"/>
  <c r="L49"/>
  <c r="J49"/>
  <c r="F49"/>
  <c r="B49"/>
  <c r="BH48" i="1"/>
  <c r="AX48"/>
  <c r="AV48"/>
  <c r="CB48" l="1"/>
  <c r="BT48"/>
  <c r="BW48" s="1"/>
  <c r="CE48"/>
  <c r="G49" i="51" l="1"/>
  <c r="I49" s="1"/>
  <c r="J49" s="1"/>
  <c r="G49" i="4"/>
  <c r="AL48" i="1" l="1"/>
  <c r="AP48" s="1"/>
  <c r="AN48"/>
  <c r="AO48"/>
  <c r="AM48"/>
  <c r="AH48"/>
  <c r="AD48"/>
  <c r="W48"/>
  <c r="X48" s="1"/>
  <c r="S48"/>
  <c r="T48" s="1"/>
  <c r="N48"/>
  <c r="L48"/>
  <c r="N50" i="3"/>
  <c r="O50" s="1"/>
  <c r="L50"/>
  <c r="K50"/>
  <c r="J50"/>
  <c r="G50"/>
  <c r="D50"/>
  <c r="U50" i="6" l="1"/>
  <c r="V50" s="1"/>
  <c r="M50"/>
  <c r="N50" s="1"/>
  <c r="J50"/>
  <c r="G50"/>
  <c r="D50"/>
  <c r="AM47" i="7"/>
  <c r="O47"/>
  <c r="AN47" s="1"/>
  <c r="L47"/>
  <c r="K47" s="1"/>
  <c r="F47"/>
  <c r="AN46"/>
  <c r="AO46" s="1"/>
  <c r="AM46"/>
  <c r="O46"/>
  <c r="L46"/>
  <c r="K46" s="1"/>
  <c r="F46"/>
  <c r="AO45"/>
  <c r="AN45"/>
  <c r="AM45"/>
  <c r="O45"/>
  <c r="L45"/>
  <c r="K45" s="1"/>
  <c r="F45"/>
  <c r="AN43"/>
  <c r="AM43"/>
  <c r="O43"/>
  <c r="L43"/>
  <c r="AO43" s="1"/>
  <c r="K43"/>
  <c r="F43"/>
  <c r="AM42"/>
  <c r="O42"/>
  <c r="AN42" s="1"/>
  <c r="L42"/>
  <c r="K42" s="1"/>
  <c r="F42"/>
  <c r="AM41"/>
  <c r="O41"/>
  <c r="AN41" s="1"/>
  <c r="L41"/>
  <c r="K41" s="1"/>
  <c r="F41"/>
  <c r="AM40"/>
  <c r="AN40" s="1"/>
  <c r="O40"/>
  <c r="L40"/>
  <c r="AO40" s="1"/>
  <c r="F40"/>
  <c r="AN39"/>
  <c r="AO39" s="1"/>
  <c r="AM39"/>
  <c r="O39"/>
  <c r="L39"/>
  <c r="K39"/>
  <c r="F39"/>
  <c r="AM38"/>
  <c r="AN38" s="1"/>
  <c r="AO38" s="1"/>
  <c r="O38"/>
  <c r="L38"/>
  <c r="F38"/>
  <c r="K38" s="1"/>
  <c r="AM37"/>
  <c r="O37"/>
  <c r="AN37" s="1"/>
  <c r="L37"/>
  <c r="K37"/>
  <c r="F37"/>
  <c r="AM36"/>
  <c r="O36"/>
  <c r="AN36" s="1"/>
  <c r="AO36" s="1"/>
  <c r="L36"/>
  <c r="K36"/>
  <c r="F36"/>
  <c r="AN35"/>
  <c r="AM35"/>
  <c r="O35"/>
  <c r="L35"/>
  <c r="AO35" s="1"/>
  <c r="K35"/>
  <c r="F35"/>
  <c r="AM34"/>
  <c r="O34"/>
  <c r="AN34" s="1"/>
  <c r="L34"/>
  <c r="K34" s="1"/>
  <c r="F34"/>
  <c r="AN33"/>
  <c r="AM33"/>
  <c r="AM31" s="1"/>
  <c r="O33"/>
  <c r="O31" s="1"/>
  <c r="L33"/>
  <c r="K33" s="1"/>
  <c r="F33"/>
  <c r="AN32"/>
  <c r="AM32"/>
  <c r="O32"/>
  <c r="L32"/>
  <c r="K32" s="1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F31"/>
  <c r="E31"/>
  <c r="D31"/>
  <c r="C31"/>
  <c r="B31"/>
  <c r="AM30"/>
  <c r="O30"/>
  <c r="AN30" s="1"/>
  <c r="L30"/>
  <c r="K30" s="1"/>
  <c r="F30"/>
  <c r="AM29"/>
  <c r="AN29" s="1"/>
  <c r="AO29" s="1"/>
  <c r="O29"/>
  <c r="L29"/>
  <c r="K29" s="1"/>
  <c r="F29"/>
  <c r="AN28"/>
  <c r="AO28" s="1"/>
  <c r="AM28"/>
  <c r="O28"/>
  <c r="L28"/>
  <c r="K28"/>
  <c r="F28"/>
  <c r="AM27"/>
  <c r="AN27" s="1"/>
  <c r="AO27" s="1"/>
  <c r="O27"/>
  <c r="L27"/>
  <c r="F27"/>
  <c r="K27" s="1"/>
  <c r="AM26"/>
  <c r="O26"/>
  <c r="AN26" s="1"/>
  <c r="AO26" s="1"/>
  <c r="L26"/>
  <c r="K26"/>
  <c r="F26"/>
  <c r="AM25"/>
  <c r="O25"/>
  <c r="AN25" s="1"/>
  <c r="L25"/>
  <c r="F25"/>
  <c r="AN24"/>
  <c r="AM24"/>
  <c r="O24"/>
  <c r="L24"/>
  <c r="AO24" s="1"/>
  <c r="K24"/>
  <c r="F24"/>
  <c r="AM23"/>
  <c r="O23"/>
  <c r="AN23" s="1"/>
  <c r="L23"/>
  <c r="K23" s="1"/>
  <c r="F23"/>
  <c r="F18" s="1"/>
  <c r="AN22"/>
  <c r="AO22" s="1"/>
  <c r="AM22"/>
  <c r="O22"/>
  <c r="L22"/>
  <c r="K22" s="1"/>
  <c r="F22"/>
  <c r="AO21"/>
  <c r="AN21"/>
  <c r="AM21"/>
  <c r="O21"/>
  <c r="L21"/>
  <c r="K21" s="1"/>
  <c r="F21"/>
  <c r="AN20"/>
  <c r="AM20"/>
  <c r="O20"/>
  <c r="L20"/>
  <c r="AO20" s="1"/>
  <c r="K20"/>
  <c r="F20"/>
  <c r="AM19"/>
  <c r="AM18" s="1"/>
  <c r="O19"/>
  <c r="AN19" s="1"/>
  <c r="L19"/>
  <c r="K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L18"/>
  <c r="J18"/>
  <c r="I18"/>
  <c r="H18"/>
  <c r="G18"/>
  <c r="E18"/>
  <c r="D18"/>
  <c r="C18"/>
  <c r="B18"/>
  <c r="AO37" l="1"/>
  <c r="AO25"/>
  <c r="AN31"/>
  <c r="AN18"/>
  <c r="O18"/>
  <c r="AO30"/>
  <c r="K40"/>
  <c r="K31" s="1"/>
  <c r="AO41"/>
  <c r="AO23"/>
  <c r="L31"/>
  <c r="AO34"/>
  <c r="AO47"/>
  <c r="AO32"/>
  <c r="K25"/>
  <c r="K18" s="1"/>
  <c r="AO19"/>
  <c r="AO42"/>
  <c r="AO33"/>
  <c r="AO31" l="1"/>
  <c r="AO18"/>
  <c r="N29" i="10" l="1"/>
  <c r="L29"/>
  <c r="J29"/>
  <c r="I29"/>
  <c r="H29"/>
  <c r="G29"/>
  <c r="F29"/>
  <c r="D29"/>
  <c r="C29"/>
  <c r="B29"/>
  <c r="N16"/>
  <c r="L16"/>
  <c r="J16"/>
  <c r="I16"/>
  <c r="H16"/>
  <c r="G16"/>
  <c r="F16"/>
  <c r="D16"/>
  <c r="C16"/>
  <c r="B16"/>
  <c r="H30" i="13"/>
  <c r="G30"/>
  <c r="F30"/>
  <c r="E30"/>
  <c r="D30"/>
  <c r="C30"/>
  <c r="B30"/>
  <c r="H17"/>
  <c r="G17"/>
  <c r="F17"/>
  <c r="E17"/>
  <c r="D17"/>
  <c r="C17"/>
  <c r="B17"/>
  <c r="H28" i="59" l="1"/>
  <c r="J39" i="60" l="1"/>
  <c r="J37"/>
  <c r="J35"/>
  <c r="E39"/>
  <c r="E37"/>
  <c r="L38" i="61"/>
  <c r="F38"/>
  <c r="F37"/>
  <c r="F36"/>
  <c r="F34"/>
  <c r="AY34" i="1" l="1"/>
  <c r="AY21"/>
  <c r="AY35"/>
  <c r="U45" i="45" l="1"/>
  <c r="U42"/>
  <c r="U43"/>
  <c r="U44"/>
  <c r="CB47" i="1" l="1"/>
  <c r="K46" i="36"/>
  <c r="I46"/>
  <c r="F46"/>
  <c r="K46" i="35"/>
  <c r="I46"/>
  <c r="F46"/>
  <c r="BA47" i="1"/>
  <c r="R48" i="5" l="1"/>
  <c r="S48" s="1"/>
  <c r="E48"/>
  <c r="B48"/>
  <c r="O48"/>
  <c r="M48"/>
  <c r="L48"/>
  <c r="J48"/>
  <c r="F48"/>
  <c r="I48" s="1"/>
  <c r="I48" i="51"/>
  <c r="J48" s="1"/>
  <c r="G48"/>
  <c r="G48" i="4"/>
  <c r="CE47" i="1"/>
  <c r="BX47"/>
  <c r="BU47"/>
  <c r="BU46"/>
  <c r="BU45"/>
  <c r="BT47"/>
  <c r="BV47"/>
  <c r="BW47"/>
  <c r="P48" i="5" l="1"/>
  <c r="BC47" i="1"/>
  <c r="AY33"/>
  <c r="AX47"/>
  <c r="AV47"/>
  <c r="BH47"/>
  <c r="AD47"/>
  <c r="AP47" s="1"/>
  <c r="AN47"/>
  <c r="AO47"/>
  <c r="AL47"/>
  <c r="AM47"/>
  <c r="AH47"/>
  <c r="N49" i="3" l="1"/>
  <c r="O49" s="1"/>
  <c r="K49"/>
  <c r="L49" s="1"/>
  <c r="J49"/>
  <c r="G49"/>
  <c r="D49"/>
  <c r="X47" i="1"/>
  <c r="W47"/>
  <c r="S47"/>
  <c r="T47" s="1"/>
  <c r="N47"/>
  <c r="L47"/>
  <c r="I38" i="50"/>
  <c r="H38"/>
  <c r="G38"/>
  <c r="F38"/>
  <c r="E38"/>
  <c r="D38"/>
  <c r="C38"/>
  <c r="B38"/>
  <c r="I42"/>
  <c r="E42"/>
  <c r="U49" i="6" l="1"/>
  <c r="V49" s="1"/>
  <c r="M49"/>
  <c r="N49" s="1"/>
  <c r="J49"/>
  <c r="G49"/>
  <c r="D49"/>
  <c r="J38" i="60" l="1"/>
  <c r="E38"/>
  <c r="L37" i="61"/>
  <c r="BA46" i="1" l="1"/>
  <c r="AY43"/>
  <c r="K45" i="36" l="1"/>
  <c r="O47" i="5"/>
  <c r="M47"/>
  <c r="J47"/>
  <c r="L47" s="1"/>
  <c r="I47"/>
  <c r="F47"/>
  <c r="B47"/>
  <c r="E47" s="1"/>
  <c r="B44"/>
  <c r="F45" i="36"/>
  <c r="I45"/>
  <c r="L48" i="3"/>
  <c r="K45" i="35"/>
  <c r="I45"/>
  <c r="F45"/>
  <c r="AV46" i="1"/>
  <c r="P47" i="5" l="1"/>
  <c r="R47" s="1"/>
  <c r="S47" s="1"/>
  <c r="I47" i="51"/>
  <c r="J47" s="1"/>
  <c r="G47"/>
  <c r="G47" i="4"/>
  <c r="G44"/>
  <c r="BX46" i="1"/>
  <c r="BV46"/>
  <c r="AX46"/>
  <c r="BC46"/>
  <c r="BC45"/>
  <c r="AZ46"/>
  <c r="AZ45"/>
  <c r="BA43"/>
  <c r="AY40"/>
  <c r="AY30"/>
  <c r="AY42"/>
  <c r="AX42"/>
  <c r="AV45"/>
  <c r="AV43"/>
  <c r="AV42"/>
  <c r="AV41"/>
  <c r="CB46"/>
  <c r="X32" l="1"/>
  <c r="X33"/>
  <c r="X34"/>
  <c r="X35"/>
  <c r="X36"/>
  <c r="X37"/>
  <c r="X38"/>
  <c r="X39"/>
  <c r="X40"/>
  <c r="X42"/>
  <c r="X43"/>
  <c r="X45"/>
  <c r="X46"/>
  <c r="K44" i="3"/>
  <c r="K42"/>
  <c r="L42" s="1"/>
  <c r="N48"/>
  <c r="O48"/>
  <c r="L45"/>
  <c r="K45"/>
  <c r="K48"/>
  <c r="J48"/>
  <c r="G48"/>
  <c r="D48"/>
  <c r="BT46" i="1"/>
  <c r="BH46"/>
  <c r="AP45"/>
  <c r="AN46"/>
  <c r="AL46"/>
  <c r="AP46" s="1"/>
  <c r="AO46"/>
  <c r="AM46"/>
  <c r="AH46"/>
  <c r="AD46"/>
  <c r="W46"/>
  <c r="S46"/>
  <c r="T46" s="1"/>
  <c r="N46"/>
  <c r="L46"/>
  <c r="BW46" l="1"/>
  <c r="CE46"/>
  <c r="AY19"/>
  <c r="AY20"/>
  <c r="V48" i="6" l="1"/>
  <c r="U48"/>
  <c r="N48"/>
  <c r="M48"/>
  <c r="J48"/>
  <c r="G48"/>
  <c r="D48"/>
  <c r="W38" i="27" l="1"/>
  <c r="W37"/>
  <c r="Q42" i="6"/>
  <c r="R42"/>
  <c r="S42"/>
  <c r="T42"/>
  <c r="P42"/>
  <c r="K42"/>
  <c r="L42"/>
  <c r="I42"/>
  <c r="H42"/>
  <c r="F42"/>
  <c r="E42"/>
  <c r="C42"/>
  <c r="B42"/>
  <c r="B19" i="51"/>
  <c r="C19"/>
  <c r="D19"/>
  <c r="E19"/>
  <c r="F19"/>
  <c r="G19"/>
  <c r="H19"/>
  <c r="G20"/>
  <c r="I20" s="1"/>
  <c r="J20" s="1"/>
  <c r="G21"/>
  <c r="I21" s="1"/>
  <c r="J21" s="1"/>
  <c r="G22"/>
  <c r="I22" s="1"/>
  <c r="J22" s="1"/>
  <c r="G23"/>
  <c r="I23" s="1"/>
  <c r="J23" s="1"/>
  <c r="G24"/>
  <c r="I24" s="1"/>
  <c r="J24" s="1"/>
  <c r="G25"/>
  <c r="I25" s="1"/>
  <c r="J25" s="1"/>
  <c r="G26"/>
  <c r="I26" s="1"/>
  <c r="J26" s="1"/>
  <c r="G27"/>
  <c r="I27" s="1"/>
  <c r="J27" s="1"/>
  <c r="G28"/>
  <c r="I28" s="1"/>
  <c r="J28" s="1"/>
  <c r="G29"/>
  <c r="I29" s="1"/>
  <c r="J29" s="1"/>
  <c r="G30"/>
  <c r="I30" s="1"/>
  <c r="J30" s="1"/>
  <c r="G31"/>
  <c r="I31" s="1"/>
  <c r="I19" l="1"/>
  <c r="J31"/>
  <c r="J19" s="1"/>
  <c r="M44" i="6" l="1"/>
  <c r="J44"/>
  <c r="G44"/>
  <c r="D44"/>
  <c r="U44"/>
  <c r="U43"/>
  <c r="M43"/>
  <c r="J43"/>
  <c r="G43"/>
  <c r="D43"/>
  <c r="N44" l="1"/>
  <c r="V44" s="1"/>
  <c r="N43"/>
  <c r="V43" l="1"/>
  <c r="U46"/>
  <c r="M46"/>
  <c r="J46"/>
  <c r="G46"/>
  <c r="D46"/>
  <c r="U45"/>
  <c r="M45"/>
  <c r="J45"/>
  <c r="G45"/>
  <c r="D45"/>
  <c r="BT45" i="1"/>
  <c r="L36" i="61"/>
  <c r="U42" i="6" l="1"/>
  <c r="M42"/>
  <c r="J42"/>
  <c r="G42"/>
  <c r="D42"/>
  <c r="N46"/>
  <c r="V46" s="1"/>
  <c r="V42" s="1"/>
  <c r="V45"/>
  <c r="N45"/>
  <c r="BA45" i="1"/>
  <c r="N42" i="6" l="1"/>
  <c r="K47" i="3"/>
  <c r="CB45" i="1"/>
  <c r="O46" i="5" l="1"/>
  <c r="M46"/>
  <c r="J46"/>
  <c r="L46" s="1"/>
  <c r="I46"/>
  <c r="F46"/>
  <c r="E46"/>
  <c r="B46"/>
  <c r="I44" i="36"/>
  <c r="F44"/>
  <c r="K44" s="1"/>
  <c r="K44" i="35"/>
  <c r="I44"/>
  <c r="F44"/>
  <c r="G46" i="51"/>
  <c r="I46" s="1"/>
  <c r="J46" s="1"/>
  <c r="G46" i="4"/>
  <c r="J47" i="3"/>
  <c r="L47" s="1"/>
  <c r="G47"/>
  <c r="D47"/>
  <c r="P46" i="5" l="1"/>
  <c r="R46" s="1"/>
  <c r="S46" s="1"/>
  <c r="N47" i="3"/>
  <c r="O47" s="1"/>
  <c r="BH45" i="1" l="1"/>
  <c r="AX45"/>
  <c r="AM45"/>
  <c r="AN45"/>
  <c r="AO45"/>
  <c r="AL45"/>
  <c r="AH45"/>
  <c r="AD45"/>
  <c r="S45"/>
  <c r="T45" s="1"/>
  <c r="BV45" l="1"/>
  <c r="BX45"/>
  <c r="L45"/>
  <c r="CE45"/>
  <c r="BW45" l="1"/>
  <c r="N45"/>
  <c r="W45" s="1"/>
  <c r="K31" i="2"/>
  <c r="AM28" i="59" l="1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K42" s="1"/>
  <c r="C30" i="36"/>
  <c r="D30"/>
  <c r="E30"/>
  <c r="G30"/>
  <c r="H30"/>
  <c r="J30"/>
  <c r="B30"/>
  <c r="C32" i="5"/>
  <c r="D32"/>
  <c r="G32"/>
  <c r="H32"/>
  <c r="K32"/>
  <c r="N32"/>
  <c r="Q32"/>
  <c r="K30" i="35" l="1"/>
  <c r="F30"/>
  <c r="K42" i="36"/>
  <c r="K30" s="1"/>
  <c r="I42"/>
  <c r="I30" s="1"/>
  <c r="F42"/>
  <c r="F30" s="1"/>
  <c r="O44" i="5" l="1"/>
  <c r="O32" s="1"/>
  <c r="M44"/>
  <c r="M32" s="1"/>
  <c r="J44"/>
  <c r="J32" s="1"/>
  <c r="F44"/>
  <c r="F32" s="1"/>
  <c r="E44"/>
  <c r="E32" s="1"/>
  <c r="B32"/>
  <c r="L44" l="1"/>
  <c r="L32" s="1"/>
  <c r="I44"/>
  <c r="C32" i="51"/>
  <c r="D32"/>
  <c r="E32"/>
  <c r="F32"/>
  <c r="G32"/>
  <c r="H32"/>
  <c r="B32"/>
  <c r="G44"/>
  <c r="I44" s="1"/>
  <c r="J44" s="1"/>
  <c r="C32" i="4"/>
  <c r="D32"/>
  <c r="E32"/>
  <c r="F32"/>
  <c r="G32"/>
  <c r="B32"/>
  <c r="C33" i="3"/>
  <c r="E33"/>
  <c r="F33"/>
  <c r="H33"/>
  <c r="I33"/>
  <c r="K33"/>
  <c r="M33"/>
  <c r="B33"/>
  <c r="I32" i="5" l="1"/>
  <c r="P44"/>
  <c r="J32" i="51"/>
  <c r="I32"/>
  <c r="J45" i="3"/>
  <c r="J33" s="1"/>
  <c r="G45"/>
  <c r="G33" s="1"/>
  <c r="D45"/>
  <c r="D33" s="1"/>
  <c r="CB43" i="1"/>
  <c r="P32" i="5" l="1"/>
  <c r="R44"/>
  <c r="N45" i="3"/>
  <c r="O45" s="1"/>
  <c r="L33"/>
  <c r="BQ31" i="1"/>
  <c r="BR31"/>
  <c r="BS31"/>
  <c r="BT31"/>
  <c r="BY31"/>
  <c r="BZ31"/>
  <c r="CA31"/>
  <c r="CB31"/>
  <c r="CC31"/>
  <c r="CD31"/>
  <c r="CE31"/>
  <c r="BP31"/>
  <c r="BK31"/>
  <c r="BL31"/>
  <c r="BM31"/>
  <c r="BN31"/>
  <c r="BJ31"/>
  <c r="AS31"/>
  <c r="AT31"/>
  <c r="AU31"/>
  <c r="AV31"/>
  <c r="AW31"/>
  <c r="BA31"/>
  <c r="BB31"/>
  <c r="BD31"/>
  <c r="BE31"/>
  <c r="BF31"/>
  <c r="BG31"/>
  <c r="AR31"/>
  <c r="AB31"/>
  <c r="AC31"/>
  <c r="AE31"/>
  <c r="AF31"/>
  <c r="AG31"/>
  <c r="AI31"/>
  <c r="AJ31"/>
  <c r="AK31"/>
  <c r="AO31"/>
  <c r="AA31"/>
  <c r="K31"/>
  <c r="M31"/>
  <c r="O31"/>
  <c r="P31"/>
  <c r="Q31"/>
  <c r="R31"/>
  <c r="S31"/>
  <c r="T31"/>
  <c r="U31"/>
  <c r="V31"/>
  <c r="Y31"/>
  <c r="J31"/>
  <c r="BV43"/>
  <c r="BV31" s="1"/>
  <c r="BH43"/>
  <c r="BH31" s="1"/>
  <c r="BC43"/>
  <c r="BC31" s="1"/>
  <c r="AX43"/>
  <c r="BX43"/>
  <c r="BX31" s="1"/>
  <c r="AL43"/>
  <c r="AL31" s="1"/>
  <c r="AO43"/>
  <c r="AN43"/>
  <c r="AN31" s="1"/>
  <c r="AM43"/>
  <c r="AM31" s="1"/>
  <c r="AH43"/>
  <c r="AH31" s="1"/>
  <c r="AD43"/>
  <c r="AD31" s="1"/>
  <c r="S43"/>
  <c r="T43" s="1"/>
  <c r="N43"/>
  <c r="N31" s="1"/>
  <c r="L43"/>
  <c r="L31" s="1"/>
  <c r="CE43"/>
  <c r="BT43"/>
  <c r="AX31" l="1"/>
  <c r="W43"/>
  <c r="S44" i="5"/>
  <c r="S32" s="1"/>
  <c r="R32"/>
  <c r="O33" i="3"/>
  <c r="N33"/>
  <c r="AP43" i="1"/>
  <c r="D31" i="2"/>
  <c r="B31"/>
  <c r="Q28" i="11"/>
  <c r="P28"/>
  <c r="O28"/>
  <c r="N28"/>
  <c r="M28"/>
  <c r="L28"/>
  <c r="K28"/>
  <c r="J28"/>
  <c r="I28"/>
  <c r="H28"/>
  <c r="G28"/>
  <c r="F28"/>
  <c r="E28"/>
  <c r="D28"/>
  <c r="C28"/>
  <c r="B28"/>
  <c r="W31" i="1" l="1"/>
  <c r="X31"/>
  <c r="BW43"/>
  <c r="BW31" s="1"/>
  <c r="AP31"/>
  <c r="BU43"/>
  <c r="BU31" s="1"/>
  <c r="I41" i="50"/>
  <c r="E41"/>
  <c r="J33" i="60" l="1"/>
  <c r="J34"/>
  <c r="E34"/>
  <c r="L33" i="61"/>
  <c r="F33"/>
  <c r="L31" i="2" l="1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J31" i="2"/>
  <c r="N31" l="1"/>
  <c r="K41" i="36" l="1"/>
  <c r="I41"/>
  <c r="F41"/>
  <c r="K41" i="35"/>
  <c r="I41"/>
  <c r="F41"/>
  <c r="O43" i="5"/>
  <c r="M43"/>
  <c r="L43"/>
  <c r="J43"/>
  <c r="F43"/>
  <c r="I43" s="1"/>
  <c r="P43" s="1"/>
  <c r="R43" s="1"/>
  <c r="F42"/>
  <c r="B42"/>
  <c r="B43"/>
  <c r="E43" s="1"/>
  <c r="S43" l="1"/>
  <c r="I43" i="51"/>
  <c r="J43" s="1"/>
  <c r="G43"/>
  <c r="G43" i="4"/>
  <c r="BA42" i="1"/>
  <c r="L44" i="3" l="1"/>
  <c r="N44" s="1"/>
  <c r="O44" s="1"/>
  <c r="J44"/>
  <c r="G44"/>
  <c r="D44"/>
  <c r="CB42" i="1" l="1"/>
  <c r="CE42"/>
  <c r="BX42" l="1"/>
  <c r="BT42"/>
  <c r="BV42" s="1"/>
  <c r="BH42"/>
  <c r="BC42"/>
  <c r="AM42"/>
  <c r="AL42"/>
  <c r="AN42"/>
  <c r="AO42"/>
  <c r="AH42"/>
  <c r="AD42"/>
  <c r="W42"/>
  <c r="S42"/>
  <c r="T42" s="1"/>
  <c r="N42"/>
  <c r="L42"/>
  <c r="AP42" l="1"/>
  <c r="BU42" s="1"/>
  <c r="BW42" l="1"/>
  <c r="U39" i="45" l="1"/>
  <c r="BT41" i="1"/>
  <c r="E33" i="60"/>
  <c r="L32" i="61"/>
  <c r="F32"/>
  <c r="O42" i="5"/>
  <c r="M42"/>
  <c r="J42"/>
  <c r="L42" s="1"/>
  <c r="I42"/>
  <c r="E42"/>
  <c r="I40" i="36"/>
  <c r="K40" s="1"/>
  <c r="F40"/>
  <c r="I40" i="35"/>
  <c r="F40"/>
  <c r="P42" i="5" l="1"/>
  <c r="R42" s="1"/>
  <c r="S42" s="1"/>
  <c r="K40" i="35"/>
  <c r="G42" i="51" l="1"/>
  <c r="I42" s="1"/>
  <c r="J42" s="1"/>
  <c r="G42" i="4" l="1"/>
  <c r="K43" i="3"/>
  <c r="J43"/>
  <c r="G43"/>
  <c r="D43"/>
  <c r="CB41" i="1"/>
  <c r="CE41"/>
  <c r="BA41"/>
  <c r="BH41"/>
  <c r="AX41"/>
  <c r="BV41"/>
  <c r="AL41"/>
  <c r="AP41" s="1"/>
  <c r="AO41"/>
  <c r="AN41"/>
  <c r="AM41"/>
  <c r="AH41"/>
  <c r="AD41"/>
  <c r="S41"/>
  <c r="T41" s="1"/>
  <c r="L41"/>
  <c r="N41" s="1"/>
  <c r="W41" s="1"/>
  <c r="X41" s="1"/>
  <c r="L43" i="3" l="1"/>
  <c r="N43" s="1"/>
  <c r="O43" s="1"/>
  <c r="BW41" i="1"/>
  <c r="BU41"/>
  <c r="BC41"/>
  <c r="BX41"/>
  <c r="AY31"/>
  <c r="AZ43"/>
  <c r="AZ31" s="1"/>
  <c r="I39" i="35"/>
  <c r="F39"/>
  <c r="I38"/>
  <c r="F38"/>
  <c r="I37"/>
  <c r="F37"/>
  <c r="K36"/>
  <c r="I36"/>
  <c r="F36"/>
  <c r="I35"/>
  <c r="F35"/>
  <c r="I34"/>
  <c r="F34"/>
  <c r="I33"/>
  <c r="F33"/>
  <c r="I32"/>
  <c r="F32"/>
  <c r="I31"/>
  <c r="F31"/>
  <c r="I29"/>
  <c r="I17" s="1"/>
  <c r="F29"/>
  <c r="I28"/>
  <c r="F28"/>
  <c r="K27"/>
  <c r="I27"/>
  <c r="F27"/>
  <c r="I26"/>
  <c r="F26"/>
  <c r="I25"/>
  <c r="F25"/>
  <c r="K25" s="1"/>
  <c r="I24"/>
  <c r="F24"/>
  <c r="K24" s="1"/>
  <c r="I23"/>
  <c r="K23" s="1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9" l="1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U41" i="6"/>
  <c r="M41"/>
  <c r="J41"/>
  <c r="G41"/>
  <c r="D41"/>
  <c r="U40"/>
  <c r="M40"/>
  <c r="J40"/>
  <c r="G40"/>
  <c r="D40"/>
  <c r="U39"/>
  <c r="M39"/>
  <c r="J39"/>
  <c r="G39"/>
  <c r="D39"/>
  <c r="U38"/>
  <c r="M38"/>
  <c r="J38"/>
  <c r="G38"/>
  <c r="D38"/>
  <c r="T37"/>
  <c r="S37"/>
  <c r="R37"/>
  <c r="Q37"/>
  <c r="P37"/>
  <c r="L37"/>
  <c r="K37"/>
  <c r="I37"/>
  <c r="H37"/>
  <c r="F37"/>
  <c r="E37"/>
  <c r="C37"/>
  <c r="B37"/>
  <c r="U36"/>
  <c r="M36"/>
  <c r="J36"/>
  <c r="G36"/>
  <c r="D36"/>
  <c r="U35"/>
  <c r="M35"/>
  <c r="J35"/>
  <c r="G35"/>
  <c r="D35"/>
  <c r="U34"/>
  <c r="M34"/>
  <c r="J34"/>
  <c r="G34"/>
  <c r="D34"/>
  <c r="U33"/>
  <c r="M33"/>
  <c r="J33"/>
  <c r="G33"/>
  <c r="D33"/>
  <c r="T32"/>
  <c r="S32"/>
  <c r="R32"/>
  <c r="Q32"/>
  <c r="P32"/>
  <c r="L32"/>
  <c r="K32"/>
  <c r="I32"/>
  <c r="H32"/>
  <c r="F32"/>
  <c r="E32"/>
  <c r="C32"/>
  <c r="B32"/>
  <c r="U31"/>
  <c r="M31"/>
  <c r="J31"/>
  <c r="G31"/>
  <c r="D31"/>
  <c r="U30"/>
  <c r="M30"/>
  <c r="J30"/>
  <c r="G30"/>
  <c r="D30"/>
  <c r="U29"/>
  <c r="M29"/>
  <c r="J29"/>
  <c r="G29"/>
  <c r="D29"/>
  <c r="N29" s="1"/>
  <c r="V29" s="1"/>
  <c r="U28"/>
  <c r="M28"/>
  <c r="J28"/>
  <c r="G28"/>
  <c r="D28"/>
  <c r="T27"/>
  <c r="S27"/>
  <c r="R27"/>
  <c r="Q27"/>
  <c r="P27"/>
  <c r="L27"/>
  <c r="K27"/>
  <c r="I27"/>
  <c r="H27"/>
  <c r="F27"/>
  <c r="E27"/>
  <c r="C27"/>
  <c r="B27"/>
  <c r="U26"/>
  <c r="M26"/>
  <c r="J26"/>
  <c r="G26"/>
  <c r="D26"/>
  <c r="U25"/>
  <c r="M25"/>
  <c r="J25"/>
  <c r="G25"/>
  <c r="D25"/>
  <c r="U24"/>
  <c r="M24"/>
  <c r="J24"/>
  <c r="G24"/>
  <c r="D24"/>
  <c r="U23"/>
  <c r="M23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D21"/>
  <c r="U20"/>
  <c r="M20"/>
  <c r="J20"/>
  <c r="G20"/>
  <c r="D20"/>
  <c r="U19"/>
  <c r="M19"/>
  <c r="J19"/>
  <c r="G19"/>
  <c r="D19"/>
  <c r="U18"/>
  <c r="M18"/>
  <c r="M17" s="1"/>
  <c r="J18"/>
  <c r="G18"/>
  <c r="D18"/>
  <c r="T17"/>
  <c r="S17"/>
  <c r="R17"/>
  <c r="Q17"/>
  <c r="P17"/>
  <c r="L17"/>
  <c r="K17"/>
  <c r="I17"/>
  <c r="H17"/>
  <c r="F17"/>
  <c r="E17"/>
  <c r="C17"/>
  <c r="B17"/>
  <c r="U16"/>
  <c r="M16"/>
  <c r="J16"/>
  <c r="G16"/>
  <c r="D16"/>
  <c r="U15"/>
  <c r="M15"/>
  <c r="J15"/>
  <c r="G15"/>
  <c r="D15"/>
  <c r="U14"/>
  <c r="M14"/>
  <c r="J14"/>
  <c r="G14"/>
  <c r="D14"/>
  <c r="U13"/>
  <c r="M13"/>
  <c r="J13"/>
  <c r="G13"/>
  <c r="D13"/>
  <c r="T12"/>
  <c r="S12"/>
  <c r="R12"/>
  <c r="Q12"/>
  <c r="P12"/>
  <c r="L12"/>
  <c r="K12"/>
  <c r="I12"/>
  <c r="H12"/>
  <c r="F12"/>
  <c r="E12"/>
  <c r="C12"/>
  <c r="B12"/>
  <c r="U6"/>
  <c r="V6" s="1"/>
  <c r="N24" l="1"/>
  <c r="V24" s="1"/>
  <c r="J17"/>
  <c r="N26"/>
  <c r="V26" s="1"/>
  <c r="N31"/>
  <c r="V31" s="1"/>
  <c r="N14"/>
  <c r="V14" s="1"/>
  <c r="M22"/>
  <c r="N34"/>
  <c r="V34" s="1"/>
  <c r="N21"/>
  <c r="V21" s="1"/>
  <c r="N36"/>
  <c r="V36" s="1"/>
  <c r="M27"/>
  <c r="J27"/>
  <c r="J22"/>
  <c r="G27"/>
  <c r="G32"/>
  <c r="G22"/>
  <c r="U27"/>
  <c r="U32"/>
  <c r="N16"/>
  <c r="V16" s="1"/>
  <c r="N19"/>
  <c r="V19" s="1"/>
  <c r="M32"/>
  <c r="N28"/>
  <c r="V28" s="1"/>
  <c r="N30"/>
  <c r="V30" s="1"/>
  <c r="N33"/>
  <c r="N23"/>
  <c r="V23" s="1"/>
  <c r="N25"/>
  <c r="V25" s="1"/>
  <c r="G17"/>
  <c r="N20"/>
  <c r="V20" s="1"/>
  <c r="N35"/>
  <c r="V35" s="1"/>
  <c r="N13"/>
  <c r="U17"/>
  <c r="N18"/>
  <c r="M37"/>
  <c r="N15"/>
  <c r="V15" s="1"/>
  <c r="U12"/>
  <c r="J37"/>
  <c r="M12"/>
  <c r="J12"/>
  <c r="U22"/>
  <c r="G12"/>
  <c r="J32"/>
  <c r="U37"/>
  <c r="N39"/>
  <c r="V39" s="1"/>
  <c r="N41"/>
  <c r="V41" s="1"/>
  <c r="G37"/>
  <c r="N40"/>
  <c r="V40" s="1"/>
  <c r="N38"/>
  <c r="V38" s="1"/>
  <c r="V33"/>
  <c r="D12"/>
  <c r="D17"/>
  <c r="D22"/>
  <c r="D27"/>
  <c r="D32"/>
  <c r="D37"/>
  <c r="V32" l="1"/>
  <c r="N12"/>
  <c r="V27"/>
  <c r="N32"/>
  <c r="V22"/>
  <c r="N17"/>
  <c r="V13"/>
  <c r="V12" s="1"/>
  <c r="N27"/>
  <c r="V18"/>
  <c r="V17" s="1"/>
  <c r="N22"/>
  <c r="V37"/>
  <c r="N37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J32" i="60" l="1"/>
  <c r="E32"/>
  <c r="U38" i="45"/>
  <c r="L31" i="61" l="1"/>
  <c r="F31"/>
  <c r="I39" i="36"/>
  <c r="F39"/>
  <c r="M41" i="5"/>
  <c r="O41" s="1"/>
  <c r="L41"/>
  <c r="J41"/>
  <c r="I41"/>
  <c r="F41"/>
  <c r="E41"/>
  <c r="B41"/>
  <c r="P41" l="1"/>
  <c r="R41" s="1"/>
  <c r="S41" s="1"/>
  <c r="K39" i="36"/>
  <c r="BA40" i="1"/>
  <c r="CB40" l="1"/>
  <c r="G41" i="51" l="1"/>
  <c r="I41" s="1"/>
  <c r="J41" s="1"/>
  <c r="J42" i="3"/>
  <c r="N42" s="1"/>
  <c r="O42" s="1"/>
  <c r="G42"/>
  <c r="D42"/>
  <c r="G41" i="4"/>
  <c r="BT40" i="1"/>
  <c r="BV40" s="1"/>
  <c r="CE40"/>
  <c r="BH40"/>
  <c r="BC40"/>
  <c r="AX40"/>
  <c r="AZ42" s="1"/>
  <c r="AV40"/>
  <c r="BX40" s="1"/>
  <c r="AL40"/>
  <c r="AO40"/>
  <c r="AN40"/>
  <c r="AM40"/>
  <c r="AH40"/>
  <c r="AD40"/>
  <c r="S40"/>
  <c r="T40" s="1"/>
  <c r="L40"/>
  <c r="N40" s="1"/>
  <c r="W40" s="1"/>
  <c r="I40" i="50"/>
  <c r="E40"/>
  <c r="AP40" i="1" l="1"/>
  <c r="BU40" s="1"/>
  <c r="BS15" i="59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BW40" i="1" l="1"/>
  <c r="U37" i="45" l="1"/>
  <c r="K38" i="36" l="1"/>
  <c r="I40" i="5"/>
  <c r="E40"/>
  <c r="I38" i="36"/>
  <c r="F38"/>
  <c r="M40" i="5"/>
  <c r="O40" s="1"/>
  <c r="L40"/>
  <c r="J40"/>
  <c r="F40"/>
  <c r="B40"/>
  <c r="BT39" i="1"/>
  <c r="J31" i="60"/>
  <c r="E31"/>
  <c r="F30" i="61"/>
  <c r="L30"/>
  <c r="R40" i="5" l="1"/>
  <c r="S40" s="1"/>
  <c r="P40"/>
  <c r="BA39" i="1"/>
  <c r="I40" i="51"/>
  <c r="J40" s="1"/>
  <c r="G40"/>
  <c r="G40" i="4"/>
  <c r="K41" i="3"/>
  <c r="J41"/>
  <c r="G41"/>
  <c r="L41" s="1"/>
  <c r="N41" s="1"/>
  <c r="O41" s="1"/>
  <c r="D41"/>
  <c r="CB39" i="1" l="1"/>
  <c r="AV39"/>
  <c r="AX39" s="1"/>
  <c r="AY41" s="1"/>
  <c r="AZ41" s="1"/>
  <c r="BH39"/>
  <c r="BC39"/>
  <c r="AL39"/>
  <c r="AO39"/>
  <c r="AN39"/>
  <c r="AM39"/>
  <c r="AH39"/>
  <c r="AD39"/>
  <c r="W39"/>
  <c r="S39"/>
  <c r="T39" s="1"/>
  <c r="N39"/>
  <c r="L39"/>
  <c r="CE39"/>
  <c r="BV39" l="1"/>
  <c r="BX39"/>
  <c r="AP39"/>
  <c r="BA38"/>
  <c r="BW39" l="1"/>
  <c r="BU39"/>
  <c r="K37" i="36"/>
  <c r="I37"/>
  <c r="F37"/>
  <c r="O39" i="5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BX38" i="1"/>
  <c r="BT38"/>
  <c r="BV38" s="1"/>
  <c r="I39" i="51"/>
  <c r="J39" s="1"/>
  <c r="G39"/>
  <c r="G39" i="4"/>
  <c r="K40" i="3"/>
  <c r="J40"/>
  <c r="G40"/>
  <c r="L40" s="1"/>
  <c r="N40" s="1"/>
  <c r="O40" s="1"/>
  <c r="D40"/>
  <c r="CB38" i="1"/>
  <c r="CE38"/>
  <c r="BH38"/>
  <c r="BC38"/>
  <c r="AX38"/>
  <c r="AZ40" s="1"/>
  <c r="AV38"/>
  <c r="AL38"/>
  <c r="AP38" s="1"/>
  <c r="BU38" s="1"/>
  <c r="AO38"/>
  <c r="AN38"/>
  <c r="AM38"/>
  <c r="AH38"/>
  <c r="AD38"/>
  <c r="S38"/>
  <c r="T38" s="1"/>
  <c r="L38"/>
  <c r="N38" s="1"/>
  <c r="W38" s="1"/>
  <c r="Q48" i="39"/>
  <c r="BW38" i="1" l="1"/>
  <c r="I39" i="50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37" i="3" l="1"/>
  <c r="L28" i="61" l="1"/>
  <c r="F28"/>
  <c r="J29" i="60"/>
  <c r="E29"/>
  <c r="E28"/>
  <c r="U35" i="45" l="1"/>
  <c r="U34"/>
  <c r="BA37" i="1" l="1"/>
  <c r="I36" i="36"/>
  <c r="F36"/>
  <c r="I38" i="5"/>
  <c r="O38"/>
  <c r="M38"/>
  <c r="J38"/>
  <c r="L38" s="1"/>
  <c r="F38"/>
  <c r="B38"/>
  <c r="E38" s="1"/>
  <c r="G38" i="4"/>
  <c r="BA35" i="1"/>
  <c r="G38" i="51"/>
  <c r="I38" s="1"/>
  <c r="J38" s="1"/>
  <c r="D37" i="3"/>
  <c r="D38"/>
  <c r="K39"/>
  <c r="L39" s="1"/>
  <c r="N39" s="1"/>
  <c r="O39" s="1"/>
  <c r="J39"/>
  <c r="G39"/>
  <c r="D39"/>
  <c r="CB37" i="1"/>
  <c r="CE37"/>
  <c r="BT37"/>
  <c r="BV37" s="1"/>
  <c r="BH37"/>
  <c r="AV37"/>
  <c r="AX37" s="1"/>
  <c r="AY39" s="1"/>
  <c r="AZ39" s="1"/>
  <c r="AL37"/>
  <c r="AO37"/>
  <c r="AN37"/>
  <c r="AM37"/>
  <c r="AH37"/>
  <c r="AD37"/>
  <c r="W37"/>
  <c r="S37"/>
  <c r="T37" s="1"/>
  <c r="N37"/>
  <c r="L37"/>
  <c r="P38" i="5" l="1"/>
  <c r="R38" s="1"/>
  <c r="S38" s="1"/>
  <c r="BC37" i="1"/>
  <c r="BX37"/>
  <c r="AP37"/>
  <c r="BU37" s="1"/>
  <c r="K36" i="36"/>
  <c r="BW37" i="1" l="1"/>
  <c r="I4" i="63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28" i="60" l="1"/>
  <c r="J27"/>
  <c r="E27"/>
  <c r="J26"/>
  <c r="E26"/>
  <c r="J25"/>
  <c r="E25"/>
  <c r="J24"/>
  <c r="E24"/>
  <c r="J22"/>
  <c r="J10" s="1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E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I35" i="36" l="1"/>
  <c r="F35"/>
  <c r="I34"/>
  <c r="F34"/>
  <c r="I33"/>
  <c r="F33"/>
  <c r="I32"/>
  <c r="F32"/>
  <c r="I31"/>
  <c r="F31"/>
  <c r="I29"/>
  <c r="I17" s="1"/>
  <c r="F29"/>
  <c r="I28"/>
  <c r="F28"/>
  <c r="I27"/>
  <c r="F27"/>
  <c r="I26"/>
  <c r="F26"/>
  <c r="K25"/>
  <c r="I25"/>
  <c r="F25"/>
  <c r="I24"/>
  <c r="F24"/>
  <c r="I23"/>
  <c r="F23"/>
  <c r="K23" s="1"/>
  <c r="I22"/>
  <c r="F22"/>
  <c r="I21"/>
  <c r="F21"/>
  <c r="I20"/>
  <c r="F20"/>
  <c r="I19"/>
  <c r="F19"/>
  <c r="I18"/>
  <c r="F18"/>
  <c r="J17"/>
  <c r="H17"/>
  <c r="G17"/>
  <c r="F17"/>
  <c r="E17"/>
  <c r="D17"/>
  <c r="C17"/>
  <c r="B17"/>
  <c r="I7"/>
  <c r="F7"/>
  <c r="I6"/>
  <c r="F6"/>
  <c r="K27" l="1"/>
  <c r="K20"/>
  <c r="K28"/>
  <c r="K7"/>
  <c r="K21"/>
  <c r="K19"/>
  <c r="K6"/>
  <c r="K24"/>
  <c r="K29"/>
  <c r="K17" s="1"/>
  <c r="K33"/>
  <c r="K32"/>
  <c r="K34"/>
  <c r="K22"/>
  <c r="K31"/>
  <c r="K18"/>
  <c r="K26"/>
  <c r="K35"/>
  <c r="BA36" i="1" l="1"/>
  <c r="BT36" l="1"/>
  <c r="M37" i="5" l="1"/>
  <c r="O37" s="1"/>
  <c r="L37"/>
  <c r="J37"/>
  <c r="F37"/>
  <c r="I37" s="1"/>
  <c r="E37"/>
  <c r="B37"/>
  <c r="P37" l="1"/>
  <c r="R37" s="1"/>
  <c r="S37" s="1"/>
  <c r="K38" i="3"/>
  <c r="G37" i="51" l="1"/>
  <c r="I37" s="1"/>
  <c r="J37" s="1"/>
  <c r="G37" i="4"/>
  <c r="J38" i="3"/>
  <c r="G38"/>
  <c r="L38" l="1"/>
  <c r="N38" s="1"/>
  <c r="O38" s="1"/>
  <c r="CE36" i="1"/>
  <c r="CB36"/>
  <c r="CB35"/>
  <c r="BH36"/>
  <c r="AV36"/>
  <c r="AL36"/>
  <c r="AN36"/>
  <c r="AO36"/>
  <c r="AM36"/>
  <c r="BX36" l="1"/>
  <c r="BV36"/>
  <c r="AX36"/>
  <c r="AY38" s="1"/>
  <c r="AZ38" s="1"/>
  <c r="AH36"/>
  <c r="AP36" s="1"/>
  <c r="BU36" s="1"/>
  <c r="AD36"/>
  <c r="S36"/>
  <c r="T36" s="1"/>
  <c r="L36"/>
  <c r="BC36" l="1"/>
  <c r="N36"/>
  <c r="W36" s="1"/>
  <c r="BW36"/>
  <c r="G21" i="4" l="1"/>
  <c r="G22"/>
  <c r="G23"/>
  <c r="G24"/>
  <c r="G25"/>
  <c r="G26"/>
  <c r="G27"/>
  <c r="G28"/>
  <c r="G29"/>
  <c r="G30"/>
  <c r="G31"/>
  <c r="M36" i="5" l="1"/>
  <c r="O36" s="1"/>
  <c r="L36"/>
  <c r="J36"/>
  <c r="F36"/>
  <c r="I36" s="1"/>
  <c r="E36"/>
  <c r="B36"/>
  <c r="B35"/>
  <c r="B34"/>
  <c r="B33"/>
  <c r="P36" l="1"/>
  <c r="R36" s="1"/>
  <c r="S36" s="1"/>
  <c r="CE35" i="1"/>
  <c r="U33" i="45" l="1"/>
  <c r="BA34" i="1" l="1"/>
  <c r="AV35"/>
  <c r="BX35" l="1"/>
  <c r="BT35"/>
  <c r="BV35" s="1"/>
  <c r="BT34"/>
  <c r="BT33"/>
  <c r="BT32"/>
  <c r="K37" i="3"/>
  <c r="G36" i="51" l="1"/>
  <c r="I36" s="1"/>
  <c r="J36" s="1"/>
  <c r="G36" i="4"/>
  <c r="G37" i="3"/>
  <c r="L37" l="1"/>
  <c r="N37" s="1"/>
  <c r="O37" l="1"/>
  <c r="BH35" i="1"/>
  <c r="AX35"/>
  <c r="AY37" s="1"/>
  <c r="AZ37" s="1"/>
  <c r="AL35"/>
  <c r="AO35"/>
  <c r="AN35"/>
  <c r="AM35"/>
  <c r="AH35"/>
  <c r="AD35"/>
  <c r="S35"/>
  <c r="T35" s="1"/>
  <c r="L35"/>
  <c r="N35" s="1"/>
  <c r="W35" s="1"/>
  <c r="BC35" l="1"/>
  <c r="AP35"/>
  <c r="BU35" l="1"/>
  <c r="BW35"/>
  <c r="N18" i="2"/>
  <c r="L18"/>
  <c r="K18"/>
  <c r="J18"/>
  <c r="D18"/>
  <c r="B18"/>
  <c r="BS18" i="1" l="1"/>
  <c r="BT18"/>
  <c r="BR18"/>
  <c r="BQ18"/>
  <c r="BP18"/>
  <c r="U32" i="45" l="1"/>
  <c r="U31"/>
  <c r="M35" i="5" l="1"/>
  <c r="O35" s="1"/>
  <c r="L35"/>
  <c r="J35"/>
  <c r="F35"/>
  <c r="I35" s="1"/>
  <c r="E35"/>
  <c r="G35" i="51"/>
  <c r="I35" s="1"/>
  <c r="J35" s="1"/>
  <c r="G35" i="4"/>
  <c r="K36" i="3"/>
  <c r="J36"/>
  <c r="G36"/>
  <c r="D36"/>
  <c r="BH34" i="1"/>
  <c r="AV34"/>
  <c r="AL34"/>
  <c r="AO34"/>
  <c r="AN34"/>
  <c r="AM34"/>
  <c r="AH34"/>
  <c r="AD34"/>
  <c r="S34"/>
  <c r="T34" s="1"/>
  <c r="L34"/>
  <c r="N34" s="1"/>
  <c r="W34" s="1"/>
  <c r="CB34"/>
  <c r="CE34"/>
  <c r="P35" i="5" l="1"/>
  <c r="R35" s="1"/>
  <c r="S35" s="1"/>
  <c r="BC34" i="1"/>
  <c r="BV34"/>
  <c r="BX34"/>
  <c r="AX34"/>
  <c r="AZ36" s="1"/>
  <c r="AP34"/>
  <c r="L36" i="3"/>
  <c r="N36" s="1"/>
  <c r="O36" s="1"/>
  <c r="BU34" i="1" l="1"/>
  <c r="BW34"/>
  <c r="O34" i="5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BA33" i="1"/>
  <c r="K32" i="3"/>
  <c r="K35"/>
  <c r="AV33" i="1"/>
  <c r="BV33" s="1"/>
  <c r="BX33" l="1"/>
  <c r="G34" i="51"/>
  <c r="I34" s="1"/>
  <c r="J34" s="1"/>
  <c r="G34" i="4"/>
  <c r="J35" i="3"/>
  <c r="G35"/>
  <c r="D35"/>
  <c r="L35" l="1"/>
  <c r="N35" s="1"/>
  <c r="O35" s="1"/>
  <c r="BH33" i="1"/>
  <c r="AX33"/>
  <c r="AZ35" s="1"/>
  <c r="AL33"/>
  <c r="AO33"/>
  <c r="AN33"/>
  <c r="AM33"/>
  <c r="AH33"/>
  <c r="AD33"/>
  <c r="S33"/>
  <c r="T33" s="1"/>
  <c r="L33"/>
  <c r="N33" s="1"/>
  <c r="W33" s="1"/>
  <c r="CB33"/>
  <c r="CE33"/>
  <c r="AP33" l="1"/>
  <c r="BU33" s="1"/>
  <c r="BC33"/>
  <c r="BW33" l="1"/>
  <c r="J30" i="5"/>
  <c r="BA32" i="1"/>
  <c r="K34" i="3" l="1"/>
  <c r="G33" i="51" l="1"/>
  <c r="I33" s="1"/>
  <c r="J33" s="1"/>
  <c r="G33" i="4"/>
  <c r="J34" i="3"/>
  <c r="G34"/>
  <c r="D34"/>
  <c r="CB32" i="1"/>
  <c r="CE32"/>
  <c r="BH32"/>
  <c r="AX32"/>
  <c r="AV32"/>
  <c r="AO32"/>
  <c r="AN32"/>
  <c r="AM32"/>
  <c r="AL32"/>
  <c r="AH32"/>
  <c r="AD32"/>
  <c r="T32"/>
  <c r="S32"/>
  <c r="L32"/>
  <c r="BC32" s="1"/>
  <c r="U30" i="45"/>
  <c r="L34" i="3" l="1"/>
  <c r="N34" s="1"/>
  <c r="O34" s="1"/>
  <c r="AZ34" i="1"/>
  <c r="N32"/>
  <c r="W32" s="1"/>
  <c r="BX32"/>
  <c r="BV32"/>
  <c r="AP32"/>
  <c r="BW32" s="1"/>
  <c r="B31" i="5"/>
  <c r="I31"/>
  <c r="BU32" i="1" l="1"/>
  <c r="K19" i="5" l="1"/>
  <c r="N19"/>
  <c r="Q19"/>
  <c r="C19"/>
  <c r="D19"/>
  <c r="F19"/>
  <c r="G19"/>
  <c r="H19"/>
  <c r="B19"/>
  <c r="BY18" i="1"/>
  <c r="BZ18"/>
  <c r="CA18"/>
  <c r="CC18"/>
  <c r="CD18"/>
  <c r="BK18"/>
  <c r="BL18"/>
  <c r="BM18"/>
  <c r="BN18"/>
  <c r="BJ18"/>
  <c r="AW18"/>
  <c r="BB18"/>
  <c r="BD18"/>
  <c r="BE18"/>
  <c r="BF18"/>
  <c r="BG18"/>
  <c r="Y18"/>
  <c r="V18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CE30" i="1"/>
  <c r="CE18" s="1"/>
  <c r="CB30"/>
  <c r="CB18" s="1"/>
  <c r="P19" i="5" l="1"/>
  <c r="R31"/>
  <c r="BX30" i="1"/>
  <c r="BX18" s="1"/>
  <c r="BH30"/>
  <c r="BH18" s="1"/>
  <c r="BA30"/>
  <c r="BA18" s="1"/>
  <c r="AV30"/>
  <c r="AX30" s="1"/>
  <c r="AZ33" s="1"/>
  <c r="AV18" l="1"/>
  <c r="BV30"/>
  <c r="BV18" s="1"/>
  <c r="R19" i="5"/>
  <c r="S31"/>
  <c r="S19" s="1"/>
  <c r="AX18" i="1"/>
  <c r="M20" i="3"/>
  <c r="K20"/>
  <c r="I20"/>
  <c r="H20"/>
  <c r="F20"/>
  <c r="E20"/>
  <c r="C20"/>
  <c r="B20"/>
  <c r="F19" i="4"/>
  <c r="E19"/>
  <c r="D19"/>
  <c r="C19"/>
  <c r="B19"/>
  <c r="G19"/>
  <c r="J32" i="3"/>
  <c r="J20" s="1"/>
  <c r="G32"/>
  <c r="G20" s="1"/>
  <c r="D32"/>
  <c r="D20" s="1"/>
  <c r="AS18" i="1"/>
  <c r="AT18"/>
  <c r="AU18"/>
  <c r="AR18"/>
  <c r="AF18"/>
  <c r="AG18"/>
  <c r="AI18"/>
  <c r="AJ18"/>
  <c r="AK18"/>
  <c r="AB18"/>
  <c r="AC18"/>
  <c r="AA18"/>
  <c r="AE18"/>
  <c r="K18"/>
  <c r="M18"/>
  <c r="O18"/>
  <c r="P18"/>
  <c r="Q18"/>
  <c r="R18"/>
  <c r="U18"/>
  <c r="J18"/>
  <c r="AL30"/>
  <c r="AO30"/>
  <c r="AO18" s="1"/>
  <c r="AN30"/>
  <c r="AN18" s="1"/>
  <c r="AM30"/>
  <c r="AM18" s="1"/>
  <c r="AH30"/>
  <c r="AH18" s="1"/>
  <c r="AD30"/>
  <c r="AD18" s="1"/>
  <c r="S30"/>
  <c r="T30" s="1"/>
  <c r="T18" s="1"/>
  <c r="N30"/>
  <c r="W30" s="1"/>
  <c r="X30" s="1"/>
  <c r="X18" s="1"/>
  <c r="L30"/>
  <c r="BC30" s="1"/>
  <c r="BC18" s="1"/>
  <c r="AP30" l="1"/>
  <c r="BW30" s="1"/>
  <c r="BW18" s="1"/>
  <c r="L32" i="3"/>
  <c r="L18" i="1"/>
  <c r="AL18"/>
  <c r="N18"/>
  <c r="S18"/>
  <c r="W18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P18" i="1" l="1"/>
  <c r="BU30"/>
  <c r="BU18" s="1"/>
  <c r="N32" i="3"/>
  <c r="L20"/>
  <c r="U15" i="45"/>
  <c r="Q15" i="11"/>
  <c r="P15"/>
  <c r="O15"/>
  <c r="N15"/>
  <c r="M15"/>
  <c r="L15"/>
  <c r="K15"/>
  <c r="J15"/>
  <c r="I15"/>
  <c r="H15"/>
  <c r="G15"/>
  <c r="F15"/>
  <c r="E15"/>
  <c r="D15"/>
  <c r="C15"/>
  <c r="B15"/>
  <c r="M30" i="5"/>
  <c r="O30" s="1"/>
  <c r="L30"/>
  <c r="F30"/>
  <c r="I30" s="1"/>
  <c r="B30"/>
  <c r="E30" s="1"/>
  <c r="M29"/>
  <c r="O29" s="1"/>
  <c r="J29"/>
  <c r="L29" s="1"/>
  <c r="I29"/>
  <c r="F29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I20"/>
  <c r="F20"/>
  <c r="B20"/>
  <c r="E20" s="1"/>
  <c r="L10"/>
  <c r="I10"/>
  <c r="L9"/>
  <c r="I9"/>
  <c r="L8"/>
  <c r="I8"/>
  <c r="I10" i="51"/>
  <c r="J10" s="1"/>
  <c r="G10"/>
  <c r="G9"/>
  <c r="I9" s="1"/>
  <c r="J9" s="1"/>
  <c r="G8"/>
  <c r="I8" s="1"/>
  <c r="J8" s="1"/>
  <c r="G20" i="4"/>
  <c r="G8"/>
  <c r="K31" i="3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K22"/>
  <c r="J22"/>
  <c r="G22"/>
  <c r="D22"/>
  <c r="K21"/>
  <c r="J21"/>
  <c r="G21"/>
  <c r="D21"/>
  <c r="N12"/>
  <c r="O12" s="1"/>
  <c r="D11"/>
  <c r="J10"/>
  <c r="G10"/>
  <c r="D10"/>
  <c r="J9"/>
  <c r="G9"/>
  <c r="L9" s="1"/>
  <c r="N9" s="1"/>
  <c r="D9"/>
  <c r="CE29" i="1"/>
  <c r="CB29"/>
  <c r="BH29"/>
  <c r="BA29"/>
  <c r="AV29"/>
  <c r="AO29"/>
  <c r="AN29"/>
  <c r="AM29"/>
  <c r="AL29"/>
  <c r="AH29"/>
  <c r="AD29"/>
  <c r="S29"/>
  <c r="T29" s="1"/>
  <c r="L29"/>
  <c r="N29" s="1"/>
  <c r="W29" s="1"/>
  <c r="X29" s="1"/>
  <c r="CE28"/>
  <c r="CB28"/>
  <c r="BH28"/>
  <c r="BA28"/>
  <c r="AX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CE26"/>
  <c r="CB26"/>
  <c r="BH26"/>
  <c r="BA26"/>
  <c r="AV26"/>
  <c r="BV26" s="1"/>
  <c r="AO26"/>
  <c r="AN26"/>
  <c r="AM26"/>
  <c r="AL26"/>
  <c r="AH26"/>
  <c r="AD26"/>
  <c r="S26"/>
  <c r="T26" s="1"/>
  <c r="L26"/>
  <c r="N26" s="1"/>
  <c r="W26" s="1"/>
  <c r="X26" s="1"/>
  <c r="CE25"/>
  <c r="CB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BV22" s="1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CE20"/>
  <c r="CB20"/>
  <c r="BH20"/>
  <c r="BA20"/>
  <c r="BX20" s="1"/>
  <c r="AV20"/>
  <c r="BV20" s="1"/>
  <c r="AO20"/>
  <c r="AN20"/>
  <c r="AM20"/>
  <c r="AL20"/>
  <c r="AH20"/>
  <c r="AD20"/>
  <c r="S20"/>
  <c r="T20" s="1"/>
  <c r="L20"/>
  <c r="N20" s="1"/>
  <c r="W20" s="1"/>
  <c r="X20" s="1"/>
  <c r="CE19"/>
  <c r="CB19"/>
  <c r="BH19"/>
  <c r="BA19"/>
  <c r="AV19"/>
  <c r="AO19"/>
  <c r="AN19"/>
  <c r="AM19"/>
  <c r="AL19"/>
  <c r="AH19"/>
  <c r="AD19"/>
  <c r="S19"/>
  <c r="T19" s="1"/>
  <c r="L19"/>
  <c r="BC19" s="1"/>
  <c r="CE10"/>
  <c r="CB10"/>
  <c r="CB9"/>
  <c r="CB8"/>
  <c r="CB7"/>
  <c r="AY7"/>
  <c r="AZ7" s="1"/>
  <c r="L25" i="3" l="1"/>
  <c r="N25" s="1"/>
  <c r="O25" s="1"/>
  <c r="L21"/>
  <c r="N21" s="1"/>
  <c r="O21" s="1"/>
  <c r="L24"/>
  <c r="N24" s="1"/>
  <c r="O24" s="1"/>
  <c r="AX20" i="1"/>
  <c r="AY22" s="1"/>
  <c r="L10" i="3"/>
  <c r="L26"/>
  <c r="N26" s="1"/>
  <c r="O26" s="1"/>
  <c r="L29"/>
  <c r="N29" s="1"/>
  <c r="O29" s="1"/>
  <c r="L30"/>
  <c r="N30" s="1"/>
  <c r="L31"/>
  <c r="N31" s="1"/>
  <c r="O31" s="1"/>
  <c r="AZ19" i="1"/>
  <c r="AX26"/>
  <c r="AY28" s="1"/>
  <c r="AZ28" s="1"/>
  <c r="AX25"/>
  <c r="AY27" s="1"/>
  <c r="AZ27" s="1"/>
  <c r="BV25"/>
  <c r="AP20"/>
  <c r="AX24"/>
  <c r="AY26" s="1"/>
  <c r="AZ26" s="1"/>
  <c r="BV24"/>
  <c r="AX23"/>
  <c r="AY25" s="1"/>
  <c r="BV23"/>
  <c r="AX29"/>
  <c r="AY32" s="1"/>
  <c r="AZ32" s="1"/>
  <c r="BV29"/>
  <c r="AP26"/>
  <c r="AX19"/>
  <c r="AZ21" s="1"/>
  <c r="BV19"/>
  <c r="AP23"/>
  <c r="BW23" s="1"/>
  <c r="AZ20"/>
  <c r="BC24"/>
  <c r="BX26"/>
  <c r="P27" i="5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L23" i="3"/>
  <c r="N23" s="1"/>
  <c r="O23" s="1"/>
  <c r="L28"/>
  <c r="N28" s="1"/>
  <c r="O28" s="1"/>
  <c r="L22"/>
  <c r="N22" s="1"/>
  <c r="O22" s="1"/>
  <c r="L27"/>
  <c r="N27" s="1"/>
  <c r="O27" s="1"/>
  <c r="O30"/>
  <c r="BX24" i="1"/>
  <c r="BX19"/>
  <c r="BC27"/>
  <c r="BC21"/>
  <c r="BX22"/>
  <c r="AP25"/>
  <c r="BW25" s="1"/>
  <c r="BX27"/>
  <c r="AP29"/>
  <c r="BW29" s="1"/>
  <c r="AP19"/>
  <c r="BW19" s="1"/>
  <c r="BX21"/>
  <c r="N24"/>
  <c r="W24" s="1"/>
  <c r="X24" s="1"/>
  <c r="BX25"/>
  <c r="N20" i="3"/>
  <c r="O32"/>
  <c r="O20" s="1"/>
  <c r="AP22" i="1"/>
  <c r="AP28"/>
  <c r="BW28" s="1"/>
  <c r="N19"/>
  <c r="W19" s="1"/>
  <c r="X19" s="1"/>
  <c r="AP21"/>
  <c r="BW21" s="1"/>
  <c r="BC25"/>
  <c r="AP27"/>
  <c r="BW27" s="1"/>
  <c r="AP24"/>
  <c r="BW24" s="1"/>
  <c r="N21"/>
  <c r="W21" s="1"/>
  <c r="X21" s="1"/>
  <c r="N27"/>
  <c r="W27" s="1"/>
  <c r="X27" s="1"/>
  <c r="AY18"/>
  <c r="AZ30"/>
  <c r="AZ18" s="1"/>
  <c r="AX22"/>
  <c r="AY24" s="1"/>
  <c r="AZ24" s="1"/>
  <c r="P30" i="5"/>
  <c r="R30" s="1"/>
  <c r="S30" s="1"/>
  <c r="P26"/>
  <c r="R26" s="1"/>
  <c r="S26" s="1"/>
  <c r="P24"/>
  <c r="R24" s="1"/>
  <c r="S24" s="1"/>
  <c r="BU23" i="1"/>
  <c r="AZ22"/>
  <c r="BC20"/>
  <c r="BC26"/>
  <c r="BX23"/>
  <c r="BX29"/>
  <c r="AX21"/>
  <c r="AY23" s="1"/>
  <c r="AZ23" s="1"/>
  <c r="AX27"/>
  <c r="BX28"/>
  <c r="AZ25"/>
  <c r="BC23"/>
  <c r="BC29"/>
  <c r="BC22"/>
  <c r="BC28"/>
  <c r="BU25" l="1"/>
  <c r="BU20"/>
  <c r="BW20"/>
  <c r="BU22"/>
  <c r="BW22"/>
  <c r="BU24"/>
  <c r="AY29"/>
  <c r="AZ29" s="1"/>
  <c r="BU26"/>
  <c r="BW26"/>
  <c r="BU29"/>
  <c r="BU19"/>
  <c r="BU28"/>
  <c r="BU27"/>
  <c r="BU21"/>
</calcChain>
</file>

<file path=xl/sharedStrings.xml><?xml version="1.0" encoding="utf-8"?>
<sst xmlns="http://schemas.openxmlformats.org/spreadsheetml/2006/main" count="8062" uniqueCount="2704">
  <si>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</si>
  <si>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</si>
  <si>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</si>
  <si>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</si>
  <si>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</si>
  <si>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</si>
  <si>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</si>
  <si>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</si>
  <si>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</si>
  <si>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</si>
  <si>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</si>
  <si>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</si>
  <si>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</si>
  <si>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</si>
  <si>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</si>
  <si>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</si>
  <si>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</si>
  <si>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</si>
  <si>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</si>
  <si>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</si>
  <si>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</si>
  <si>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</si>
  <si>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</si>
  <si>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</si>
  <si>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</si>
  <si>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</si>
  <si>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</si>
  <si>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</si>
  <si>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</si>
  <si>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</si>
  <si>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</si>
  <si>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</si>
  <si>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</si>
  <si>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</si>
  <si>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</si>
  <si>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</si>
  <si>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</si>
  <si>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</si>
  <si>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</si>
  <si>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</si>
  <si>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</si>
  <si>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</si>
  <si>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</si>
  <si>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</si>
  <si>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</si>
  <si>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</si>
  <si>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</si>
  <si>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</si>
  <si>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</si>
  <si>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</si>
  <si>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</si>
  <si>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</si>
  <si>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</si>
  <si>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</si>
  <si>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</si>
  <si>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</si>
  <si>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</si>
  <si>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</si>
  <si>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</si>
  <si>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</si>
  <si>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</si>
  <si>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</si>
  <si>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</si>
  <si>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</si>
  <si>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</si>
  <si>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</si>
  <si>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</si>
  <si>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</si>
  <si>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</si>
  <si>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</si>
  <si>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</si>
  <si>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</si>
  <si>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</si>
  <si>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</si>
  <si>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</si>
  <si>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</si>
  <si>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</si>
  <si>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</si>
  <si>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</si>
  <si>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</si>
  <si>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</si>
  <si>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</si>
  <si>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</si>
  <si>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</si>
  <si>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</si>
  <si>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</si>
  <si>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</si>
  <si>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</si>
  <si>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</si>
  <si>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</si>
  <si>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</si>
  <si>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</si>
  <si>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</si>
  <si>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</si>
  <si>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</si>
  <si>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</si>
  <si>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</si>
  <si>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</si>
  <si>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</si>
  <si>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</si>
  <si>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</si>
  <si>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</si>
  <si>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</si>
  <si>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</si>
  <si>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</si>
  <si>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</si>
  <si>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</si>
  <si>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</si>
  <si>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</si>
  <si>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</si>
  <si>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</si>
  <si>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</si>
  <si>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</si>
  <si>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</si>
  <si>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</si>
  <si>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</si>
  <si>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</si>
  <si>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</si>
  <si>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</si>
  <si>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</si>
  <si>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</si>
  <si>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</si>
  <si>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</si>
  <si>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</si>
  <si>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</si>
  <si>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</si>
  <si>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</si>
  <si>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</si>
  <si>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</si>
  <si>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</si>
  <si>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</si>
  <si>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</si>
  <si>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</si>
  <si>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</si>
  <si>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</si>
  <si>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</si>
  <si>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</si>
  <si>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</si>
  <si>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</si>
  <si>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</si>
  <si>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</si>
  <si>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</si>
  <si>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</si>
  <si>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</si>
  <si>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</si>
  <si>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</si>
  <si>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</si>
  <si>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</si>
  <si>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</si>
  <si>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</si>
  <si>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</si>
  <si>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</si>
  <si>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</si>
  <si>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</si>
  <si>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</si>
  <si>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</si>
  <si>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</si>
  <si>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</si>
  <si>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</si>
  <si>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</si>
  <si>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</si>
  <si>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</si>
  <si>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</si>
  <si>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</si>
  <si>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</si>
  <si>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</si>
  <si>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</si>
  <si>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</si>
  <si>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</si>
  <si>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</si>
  <si>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</si>
  <si>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</si>
  <si>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</si>
  <si>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</si>
  <si>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</si>
  <si>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</si>
  <si>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</si>
  <si>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</si>
  <si>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</si>
  <si>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</si>
  <si>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</si>
  <si>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</si>
  <si>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</si>
  <si>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</si>
  <si>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</si>
  <si>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</si>
  <si>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</si>
  <si>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</si>
  <si>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</si>
  <si>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</si>
  <si>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</si>
  <si>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</si>
  <si>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</si>
  <si>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</si>
  <si>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</si>
  <si>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</si>
  <si>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</si>
  <si>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</si>
  <si>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</si>
  <si>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</si>
  <si>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</si>
  <si>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</si>
  <si>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</si>
  <si>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</si>
  <si>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</si>
  <si>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</si>
  <si>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</si>
  <si>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</si>
  <si>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</si>
  <si>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</si>
  <si>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</si>
  <si>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</si>
  <si>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</si>
  <si>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</si>
  <si>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</si>
  <si>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</si>
  <si>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</si>
  <si>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</si>
  <si>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</si>
  <si>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</si>
  <si>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</si>
  <si>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</si>
  <si>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</si>
  <si>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</si>
  <si>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</si>
  <si>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</si>
  <si>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</si>
  <si>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</si>
  <si>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</si>
  <si>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</si>
  <si>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</si>
  <si>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</si>
  <si>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</si>
  <si>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</si>
  <si>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</si>
  <si>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</si>
  <si>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</si>
  <si>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</si>
  <si>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</si>
  <si>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</si>
  <si>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</si>
  <si>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</si>
  <si>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</si>
  <si>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</si>
  <si>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</si>
  <si>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</si>
  <si>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</si>
  <si>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</si>
  <si>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</si>
  <si>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</si>
  <si>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</si>
  <si>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</si>
  <si>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</si>
  <si>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</si>
  <si>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</si>
  <si>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</si>
  <si>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</si>
  <si>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</si>
  <si>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</si>
  <si>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</si>
  <si>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</si>
  <si>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</si>
  <si>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</si>
  <si>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</si>
  <si>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</si>
  <si>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</si>
  <si>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</si>
  <si>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</si>
  <si>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</si>
  <si>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</si>
  <si>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</si>
  <si>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</si>
  <si>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</si>
  <si>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</si>
  <si>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</si>
  <si>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</si>
  <si>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</si>
  <si>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</si>
  <si>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</si>
  <si>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</si>
  <si>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</si>
  <si>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</si>
  <si>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</si>
  <si>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</si>
  <si>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</si>
  <si>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</si>
  <si>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</si>
  <si>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</si>
  <si>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</si>
  <si>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</si>
  <si>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</si>
  <si>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</si>
  <si>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</si>
  <si>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</si>
  <si>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</si>
  <si>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</si>
  <si>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</si>
  <si>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</si>
  <si>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</si>
  <si>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</si>
  <si>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</si>
  <si>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</si>
  <si>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</si>
  <si>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</si>
  <si>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</si>
  <si>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</si>
  <si>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</si>
  <si>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</si>
  <si>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</si>
  <si>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</si>
  <si>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</si>
  <si>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</si>
  <si>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</si>
  <si>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</si>
  <si>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</si>
  <si>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</si>
  <si>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</si>
  <si>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</si>
  <si>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</si>
  <si>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</si>
  <si>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</si>
  <si>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</si>
  <si>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</si>
  <si>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</si>
  <si>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</si>
  <si>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</si>
  <si>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</si>
  <si>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</si>
  <si>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</si>
  <si>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</si>
  <si>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</si>
  <si>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</si>
  <si>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</si>
  <si>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</si>
  <si>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</si>
  <si>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</si>
  <si>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</si>
  <si>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</si>
  <si>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</si>
  <si>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</si>
  <si>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</si>
  <si>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</si>
  <si>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</si>
  <si>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</si>
  <si>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</si>
  <si>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</si>
  <si>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</si>
  <si>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</si>
  <si>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</si>
  <si>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</si>
  <si>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</si>
  <si>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</si>
  <si>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</si>
  <si>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</si>
  <si>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</si>
  <si>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</si>
  <si>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</si>
  <si>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</si>
  <si>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</si>
  <si>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</si>
  <si>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</si>
  <si>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</si>
  <si>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</si>
  <si>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</si>
  <si>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</si>
  <si>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</si>
  <si>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</si>
  <si>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</si>
  <si>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</si>
  <si>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</si>
  <si>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</si>
  <si>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</si>
  <si>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</si>
  <si>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</si>
  <si>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</si>
  <si>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</si>
  <si>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</si>
  <si>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</si>
  <si>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</si>
  <si>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</si>
  <si>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</si>
  <si>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</si>
  <si>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</si>
  <si>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</si>
  <si>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</si>
  <si>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</si>
  <si>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</si>
  <si>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</si>
  <si>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</si>
  <si>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</si>
  <si>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</si>
  <si>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</si>
  <si>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</si>
  <si>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</si>
  <si>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</si>
  <si>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</si>
  <si>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</si>
  <si>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</si>
  <si>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</si>
  <si>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</si>
  <si>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</si>
  <si>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</si>
  <si>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</si>
  <si>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</si>
  <si>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</si>
  <si>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</si>
  <si>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</si>
  <si>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</si>
  <si>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</si>
  <si>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</si>
  <si>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</si>
  <si>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</si>
  <si>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</si>
  <si>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</si>
  <si>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</si>
  <si>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</si>
  <si>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</si>
  <si>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</si>
  <si>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</si>
  <si>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</si>
  <si>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</si>
  <si>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</si>
  <si>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</si>
  <si>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</si>
  <si>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</si>
  <si>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</si>
  <si>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</si>
  <si>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</si>
  <si>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</si>
  <si>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</si>
  <si>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</si>
  <si>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</si>
  <si>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</si>
  <si>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</si>
  <si>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</si>
  <si>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</si>
  <si>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</si>
  <si>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</si>
  <si>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</si>
  <si>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</si>
  <si>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</si>
  <si>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</si>
  <si>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</si>
  <si>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</si>
  <si>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</si>
  <si>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</si>
  <si>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</si>
  <si>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</si>
  <si>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</si>
  <si>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</si>
  <si>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</si>
  <si>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</si>
  <si>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</si>
  <si>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</si>
  <si>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</si>
  <si>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</si>
  <si>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</si>
  <si>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</si>
  <si>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</si>
  <si>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</si>
  <si>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</si>
  <si>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</si>
  <si>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</si>
  <si>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</si>
  <si>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</si>
  <si>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</si>
  <si>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</si>
  <si>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</si>
  <si>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</si>
  <si>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</si>
  <si>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</si>
  <si>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</si>
  <si>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</si>
  <si>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</si>
  <si>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</si>
  <si>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</si>
  <si>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</si>
  <si>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</si>
  <si>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</si>
  <si>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</si>
  <si>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</si>
  <si>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</si>
  <si>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</si>
  <si>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</si>
  <si>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</si>
  <si>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</si>
  <si>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</si>
  <si>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</si>
  <si>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</si>
  <si>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</si>
  <si>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</si>
  <si>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</si>
  <si>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</si>
  <si>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</si>
  <si>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</si>
  <si>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</si>
  <si>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</si>
  <si>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</si>
  <si>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</si>
  <si>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</si>
  <si>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</si>
  <si>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</si>
  <si>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</si>
  <si>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</si>
  <si>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</si>
  <si>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</si>
  <si>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</si>
  <si>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</si>
  <si>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</si>
  <si>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12.12.07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</si>
  <si>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</si>
  <si>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</si>
  <si>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</si>
  <si>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</si>
  <si>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</si>
  <si>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</si>
  <si>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</si>
  <si>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</si>
  <si>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</si>
  <si>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</si>
  <si>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</si>
  <si>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</si>
  <si>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</si>
  <si>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</si>
  <si>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</si>
  <si>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</si>
  <si>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</si>
  <si>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</si>
  <si>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</si>
  <si>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</si>
  <si>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</si>
  <si>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</si>
  <si>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</si>
  <si>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</si>
  <si>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</si>
  <si>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</si>
  <si>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</si>
  <si>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</si>
  <si>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</si>
  <si>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</si>
  <si>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</si>
  <si>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</si>
  <si>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</si>
  <si>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</si>
  <si>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</si>
  <si>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</si>
  <si>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</si>
  <si>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</si>
  <si>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</si>
  <si>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</si>
  <si>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</si>
  <si>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</si>
  <si>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</si>
  <si>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</si>
  <si>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</si>
  <si>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</si>
  <si>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</si>
  <si>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</si>
  <si>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</si>
  <si>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</si>
  <si>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</si>
  <si>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</si>
  <si>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</si>
  <si>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</si>
  <si>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</si>
  <si>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</si>
  <si>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</si>
  <si>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</si>
  <si>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</si>
  <si>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</si>
  <si>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</si>
  <si>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</si>
  <si>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</si>
  <si>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</si>
  <si>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</si>
  <si>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</si>
  <si>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</si>
  <si>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</si>
  <si>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</si>
  <si>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</si>
  <si>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</si>
  <si>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</si>
  <si>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</si>
  <si>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</si>
  <si>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</si>
  <si>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</si>
  <si>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</si>
  <si>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</si>
  <si>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</si>
  <si>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</si>
  <si>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</si>
  <si>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</si>
  <si>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</si>
  <si>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</si>
  <si>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</si>
  <si>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</si>
  <si>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</si>
  <si>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</si>
  <si>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</si>
  <si>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</si>
  <si>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</si>
  <si>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</si>
  <si>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</si>
  <si>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</si>
  <si>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</si>
  <si>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</si>
  <si>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</si>
  <si>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</si>
  <si>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</si>
  <si>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</si>
  <si>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</si>
  <si>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</si>
  <si>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</si>
  <si>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</si>
  <si>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</si>
  <si>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</si>
  <si>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</si>
  <si>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</si>
  <si>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</si>
  <si>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</si>
  <si>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</si>
  <si>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</si>
  <si>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</si>
  <si>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</si>
  <si>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</si>
  <si>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</si>
  <si>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</si>
  <si>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</si>
  <si>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</si>
  <si>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</si>
  <si>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</si>
  <si>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</si>
  <si>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</si>
  <si>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</si>
  <si>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</si>
  <si>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</si>
  <si>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</si>
  <si>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</si>
  <si>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</si>
  <si>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</si>
  <si>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</si>
  <si>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</si>
  <si>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</si>
  <si>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</si>
  <si>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</si>
  <si>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</si>
  <si>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</si>
  <si>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</si>
  <si>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</si>
  <si>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</si>
  <si>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</si>
  <si>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</si>
  <si>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</si>
  <si>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</si>
  <si>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</si>
  <si>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</si>
  <si>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</si>
  <si>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</si>
  <si>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</si>
  <si>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</si>
  <si>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</si>
  <si>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</si>
  <si>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</si>
  <si>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</si>
  <si>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</si>
  <si>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</si>
  <si>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</si>
  <si>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</si>
  <si>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</si>
  <si>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</si>
  <si>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</si>
  <si>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</si>
  <si>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</si>
  <si>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</si>
  <si>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</si>
  <si>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</si>
  <si>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</si>
  <si>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</si>
  <si>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</si>
  <si>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</si>
  <si>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</si>
  <si>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</si>
  <si>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</si>
  <si>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</si>
  <si>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</si>
  <si>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</si>
  <si>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</si>
  <si>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</si>
  <si>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</si>
  <si>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</si>
  <si>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</si>
  <si>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</si>
  <si>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</si>
  <si>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</si>
  <si>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</si>
  <si>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</si>
  <si>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</si>
  <si>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</si>
  <si>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</si>
  <si>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</si>
  <si>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</si>
  <si>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</si>
  <si>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</si>
  <si>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</si>
  <si>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</si>
  <si>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</si>
  <si>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</si>
  <si>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</si>
  <si>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</si>
  <si>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</si>
  <si>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</si>
  <si>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</si>
  <si>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</si>
  <si>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</si>
  <si>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</si>
  <si>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</si>
  <si>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</si>
  <si>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</si>
  <si>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</si>
  <si>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</si>
  <si>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</si>
  <si>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</si>
  <si>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</si>
  <si>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</si>
  <si>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</si>
  <si>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</si>
  <si>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</si>
  <si>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</si>
  <si>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</si>
  <si>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</si>
  <si>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</si>
  <si>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</si>
  <si>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</si>
  <si>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</si>
  <si>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</si>
  <si>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</si>
  <si>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</si>
  <si>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</si>
  <si>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</si>
  <si>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</si>
  <si>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</si>
  <si>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</si>
  <si>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</si>
  <si>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</si>
  <si>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</si>
  <si>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</si>
  <si>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</si>
  <si>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</si>
  <si>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</si>
  <si>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</si>
  <si>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</si>
  <si>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</si>
  <si>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</si>
  <si>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</si>
  <si>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</si>
  <si>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</si>
  <si>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</si>
  <si>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</si>
  <si>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</si>
  <si>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</si>
  <si>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</si>
  <si>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</si>
  <si>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</si>
  <si>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</si>
  <si>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</si>
  <si>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</si>
  <si>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</si>
  <si>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</si>
  <si>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</si>
  <si>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</si>
  <si>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</si>
  <si>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</si>
  <si>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</si>
  <si>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</si>
  <si>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</si>
  <si>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</si>
  <si>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</si>
  <si>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</si>
  <si>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</si>
  <si>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</si>
  <si>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</si>
  <si>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</si>
  <si>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</si>
  <si>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</si>
  <si>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</si>
  <si>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</si>
  <si>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</si>
  <si>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</si>
  <si>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</si>
  <si>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</si>
  <si>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</si>
  <si>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</si>
  <si>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</si>
  <si>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</si>
  <si>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</si>
  <si>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</si>
  <si>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</si>
  <si>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</si>
  <si>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</si>
  <si>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</si>
  <si>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</si>
  <si>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</si>
  <si>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</si>
  <si>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</si>
  <si>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</si>
  <si>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</si>
  <si>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</si>
  <si>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</si>
  <si>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</si>
  <si>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</si>
  <si>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</si>
  <si>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</si>
  <si>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</si>
  <si>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</si>
  <si>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</si>
  <si>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</si>
  <si>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</si>
  <si>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</si>
  <si>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</si>
  <si>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</si>
  <si>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</si>
  <si>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</si>
  <si>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</si>
  <si>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</si>
  <si>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</si>
  <si>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</si>
  <si>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</si>
  <si>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</si>
  <si>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</si>
  <si>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</si>
  <si>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</si>
  <si>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</si>
  <si>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</si>
  <si>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</si>
  <si>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</si>
  <si>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</si>
  <si>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</si>
  <si>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</si>
  <si>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</si>
  <si>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</si>
  <si>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</si>
  <si>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</si>
  <si>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</si>
  <si>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</si>
  <si>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</si>
  <si>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</si>
  <si>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</si>
  <si>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</si>
  <si>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</si>
  <si>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</si>
  <si>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</si>
  <si>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</si>
  <si>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</si>
  <si>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</si>
  <si>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</si>
  <si>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</si>
  <si>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</si>
  <si>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</si>
  <si>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</si>
  <si>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</si>
  <si>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</si>
  <si>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</si>
  <si>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</si>
  <si>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</si>
  <si>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</si>
  <si>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</si>
  <si>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</si>
  <si>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</si>
  <si>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</si>
  <si>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</si>
  <si>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</si>
  <si>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</si>
  <si>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</si>
  <si>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</si>
  <si>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</si>
  <si>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</si>
  <si>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</si>
  <si>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</si>
  <si>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</si>
  <si>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</si>
  <si>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</si>
  <si>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</si>
  <si>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</si>
  <si>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</si>
  <si>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</si>
  <si>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</si>
  <si>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</si>
  <si>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</si>
  <si>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</si>
  <si>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</si>
  <si>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</si>
  <si>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</si>
  <si>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</si>
  <si>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</si>
  <si>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</si>
  <si>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</si>
  <si>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</si>
  <si>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</si>
  <si>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</si>
  <si>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</si>
  <si>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</si>
  <si>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</si>
  <si>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</si>
  <si>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</si>
  <si>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</si>
  <si>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</si>
  <si>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</si>
  <si>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</si>
  <si>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</si>
  <si>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</si>
  <si>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</si>
  <si>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</si>
  <si>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</si>
  <si>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</si>
  <si>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</si>
  <si>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</si>
  <si>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</si>
  <si>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</si>
  <si>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</si>
  <si>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</si>
  <si>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</si>
  <si>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</si>
  <si>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</si>
  <si>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</si>
  <si>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</si>
  <si>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</si>
  <si>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</si>
  <si>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</si>
  <si>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</si>
  <si>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</si>
  <si>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</si>
  <si>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</si>
  <si>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</si>
  <si>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</si>
  <si>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</si>
  <si>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</si>
  <si>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</si>
  <si>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</si>
  <si>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</si>
  <si>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</si>
  <si>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</si>
  <si>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</si>
  <si>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</si>
  <si>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</si>
  <si>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</si>
  <si>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</si>
  <si>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</si>
  <si>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</si>
  <si>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</si>
  <si>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</si>
  <si>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</si>
  <si>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</si>
  <si>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</si>
  <si>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</si>
  <si>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</si>
  <si>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</si>
  <si>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</si>
  <si>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</si>
  <si>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</si>
  <si>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</si>
  <si>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</si>
  <si>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</si>
  <si>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</si>
  <si>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</si>
  <si>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</si>
  <si>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</si>
  <si>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</si>
  <si>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</si>
  <si>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</si>
  <si>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</si>
  <si>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</si>
  <si>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</si>
  <si>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</si>
  <si>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</si>
  <si>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</si>
  <si>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</si>
  <si>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</si>
  <si>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</si>
  <si>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</si>
  <si>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</si>
  <si>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</si>
  <si>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</si>
  <si>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</si>
  <si>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</si>
  <si>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</si>
  <si>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</si>
  <si>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</si>
  <si>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</si>
  <si>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</si>
  <si>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</si>
  <si>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</si>
  <si>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</si>
  <si>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</si>
  <si>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</si>
  <si>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</si>
  <si>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</si>
  <si>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</si>
  <si>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</si>
  <si>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</si>
  <si>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</si>
  <si>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</si>
  <si>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</si>
  <si>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</si>
  <si>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</si>
  <si>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</si>
  <si>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</si>
  <si>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</si>
  <si>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</si>
  <si>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</si>
  <si>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</si>
  <si>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</si>
  <si>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</si>
  <si>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</si>
  <si>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</si>
  <si>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</si>
  <si>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</si>
  <si>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</si>
  <si>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</si>
  <si>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</si>
  <si>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</si>
  <si>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</si>
  <si>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</si>
  <si>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</si>
  <si>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</si>
  <si>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</si>
  <si>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</si>
  <si>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</si>
  <si>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</si>
  <si>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</si>
  <si>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</si>
  <si>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</si>
  <si>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</si>
  <si>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</si>
  <si>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</si>
  <si>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</si>
  <si>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</si>
  <si>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</si>
  <si>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</si>
  <si>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</si>
  <si>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</si>
  <si>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</si>
  <si>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</si>
  <si>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</si>
  <si>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</si>
  <si>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</si>
  <si>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</si>
  <si>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</si>
  <si>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</si>
  <si>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</si>
  <si>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</si>
  <si>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</si>
  <si>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</si>
  <si>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</si>
  <si>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</si>
  <si>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</si>
  <si>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</si>
  <si>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</si>
  <si>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</si>
  <si>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</si>
  <si>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</si>
  <si>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</si>
  <si>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</si>
  <si>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</si>
  <si>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</si>
  <si>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</si>
  <si>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</si>
  <si>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</si>
  <si>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</si>
  <si>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</si>
  <si>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</si>
  <si>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</si>
  <si>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</si>
  <si>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</si>
  <si>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</si>
  <si>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</si>
  <si>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</si>
  <si>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</si>
  <si>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</si>
  <si>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</si>
  <si>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</si>
  <si>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</si>
  <si>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</si>
  <si>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</si>
  <si>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</si>
  <si>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</si>
  <si>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</si>
  <si>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</si>
  <si>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</si>
  <si>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</si>
  <si>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</si>
  <si>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</si>
  <si>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</si>
  <si>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</si>
  <si>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</si>
  <si>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</si>
  <si>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</si>
  <si>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</si>
  <si>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</si>
  <si>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</si>
  <si>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</si>
  <si>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</si>
  <si>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</si>
  <si>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</si>
  <si>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</si>
  <si>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</si>
  <si>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</si>
  <si>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</si>
  <si>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</si>
  <si>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</si>
  <si>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</si>
  <si>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</si>
  <si>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</si>
  <si>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</si>
  <si>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</si>
  <si>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</si>
  <si>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</si>
  <si>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</si>
  <si>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</si>
  <si>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</si>
  <si>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</si>
  <si>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</si>
  <si>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</si>
  <si>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</si>
  <si>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</si>
  <si>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</si>
  <si>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</si>
  <si>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</si>
  <si>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</si>
  <si>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</si>
  <si>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</si>
  <si>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</si>
  <si>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</si>
  <si>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</si>
  <si>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</si>
  <si>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</si>
  <si>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</si>
  <si>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</si>
  <si>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</si>
  <si>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</si>
  <si>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</si>
  <si>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</si>
  <si>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</si>
  <si>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</si>
  <si>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</si>
  <si>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</si>
  <si>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</si>
  <si>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</si>
  <si>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</si>
  <si>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</si>
  <si>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</si>
  <si>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</si>
  <si>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</si>
  <si>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</si>
  <si>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</si>
  <si>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</si>
  <si>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</si>
  <si>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</si>
  <si>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</si>
  <si>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</si>
  <si>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</si>
  <si>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</si>
  <si>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</si>
  <si>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</si>
  <si>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</si>
  <si>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</si>
  <si>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</si>
  <si>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</si>
  <si>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</si>
  <si>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</si>
  <si>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</si>
  <si>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</si>
  <si>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</si>
  <si>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</si>
  <si>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</si>
  <si>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</si>
  <si>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</si>
  <si>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</si>
  <si>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</si>
  <si>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</si>
  <si>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</si>
  <si>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</si>
  <si>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</si>
  <si>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</si>
  <si>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</si>
  <si>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</si>
  <si>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</si>
  <si>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</si>
  <si>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</si>
  <si>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</si>
  <si>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</si>
  <si>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</si>
  <si>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</si>
  <si>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</si>
  <si>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</si>
  <si>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</si>
  <si>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</si>
  <si>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</si>
  <si>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</si>
  <si>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</si>
  <si>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</si>
  <si>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</si>
  <si>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</si>
  <si>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</si>
  <si>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</si>
  <si>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</si>
  <si>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</si>
  <si>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</si>
  <si>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</si>
  <si>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</si>
  <si>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</si>
  <si>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</si>
  <si>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</si>
  <si>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</si>
  <si>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</si>
  <si>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</si>
  <si>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</si>
  <si>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</si>
  <si>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</si>
  <si>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</si>
  <si>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</si>
  <si>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</si>
  <si>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</si>
  <si>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</si>
  <si>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</si>
  <si>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</si>
  <si>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</si>
  <si>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</si>
  <si>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</si>
  <si>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</si>
  <si>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</si>
  <si>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</si>
  <si>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</si>
  <si>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</si>
  <si>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</si>
  <si>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</si>
  <si>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</si>
  <si>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</si>
  <si>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</si>
  <si>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</si>
  <si>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</si>
  <si>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</si>
  <si>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</si>
  <si>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</si>
  <si>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</si>
  <si>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</si>
  <si>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</si>
  <si>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</si>
  <si>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</si>
  <si>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</si>
  <si>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</si>
  <si>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</si>
  <si>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</si>
  <si>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</si>
  <si>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</si>
  <si>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</si>
  <si>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</si>
  <si>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</si>
  <si>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</si>
  <si>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</si>
  <si>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</si>
  <si>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</si>
  <si>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</si>
  <si>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</si>
  <si>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</si>
  <si>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</si>
  <si>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</si>
  <si>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</si>
  <si>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</si>
  <si>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</si>
  <si>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</si>
  <si>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</si>
  <si>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</si>
  <si>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</si>
  <si>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</si>
  <si>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</si>
  <si>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</si>
  <si>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</si>
  <si>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</si>
  <si>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</si>
  <si>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</si>
  <si>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</si>
  <si>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</si>
  <si>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</si>
  <si>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</si>
  <si>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</si>
  <si>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</si>
  <si>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</si>
  <si>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</si>
  <si>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</si>
  <si>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</si>
  <si>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</si>
  <si>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</si>
  <si>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</si>
  <si>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</si>
  <si>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</si>
  <si>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</si>
  <si>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</si>
  <si>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</si>
  <si>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</si>
  <si>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</si>
  <si>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</si>
  <si>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</si>
  <si>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</si>
  <si>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</si>
  <si>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</si>
  <si>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</si>
  <si>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</si>
  <si>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</si>
  <si>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</si>
  <si>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</si>
  <si>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</si>
  <si>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</si>
  <si>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</si>
  <si>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</si>
  <si>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</si>
  <si>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</si>
  <si>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</si>
  <si>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</si>
  <si>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</si>
  <si>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</si>
  <si>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</si>
  <si>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</si>
  <si>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</si>
  <si>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</si>
  <si>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</si>
  <si>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</si>
  <si>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</si>
  <si>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</si>
  <si>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</si>
  <si>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</si>
  <si>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</si>
  <si>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</si>
  <si>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</si>
  <si>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</si>
  <si>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</si>
  <si>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</si>
  <si>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</si>
  <si>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</si>
  <si>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</si>
  <si>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</si>
  <si>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</si>
  <si>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</si>
  <si>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</si>
  <si>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</si>
  <si>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</si>
  <si>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</si>
  <si>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</si>
  <si>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</si>
  <si>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</si>
  <si>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</si>
  <si>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</si>
  <si>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</si>
  <si>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</si>
  <si>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</si>
  <si>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</si>
  <si>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</si>
  <si>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</si>
  <si>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</si>
  <si>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</si>
  <si>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</si>
  <si>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</si>
  <si>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</si>
  <si>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</si>
  <si>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</si>
  <si>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</si>
  <si>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</si>
  <si>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</si>
  <si>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</si>
  <si>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</si>
  <si>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</si>
  <si>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</si>
  <si>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</si>
  <si>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</si>
  <si>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</si>
  <si>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</si>
  <si>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</si>
  <si>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</si>
  <si>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</si>
  <si>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</si>
  <si>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</si>
  <si>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</si>
  <si>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</si>
  <si>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</si>
  <si>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</si>
  <si>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</si>
  <si>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</si>
  <si>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</si>
  <si>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</si>
  <si>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</si>
  <si>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</si>
  <si>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</si>
  <si>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</si>
  <si>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</si>
  <si>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</si>
  <si>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</si>
  <si>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</si>
  <si>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</si>
  <si>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</si>
  <si>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</si>
  <si>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</si>
  <si>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</si>
  <si>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</si>
  <si>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</si>
  <si>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</si>
  <si>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</si>
  <si>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</si>
  <si>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</si>
  <si>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</si>
  <si>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</si>
  <si>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</si>
  <si>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</si>
  <si>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</si>
  <si>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</si>
  <si>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</si>
  <si>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</si>
  <si>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</si>
  <si>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</si>
  <si>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</si>
  <si>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</si>
  <si>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</si>
  <si>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</si>
  <si>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</si>
  <si>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</si>
  <si>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</si>
  <si>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</si>
  <si>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</si>
  <si>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</si>
  <si>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</si>
  <si>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</si>
  <si>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</si>
  <si>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</si>
  <si>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</si>
  <si>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</si>
  <si>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</si>
  <si>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</si>
  <si>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</si>
  <si>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</si>
  <si>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</si>
  <si>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</si>
  <si>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</si>
  <si>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</si>
  <si>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</si>
  <si>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</si>
  <si>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</si>
  <si>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</si>
  <si>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</si>
  <si>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</si>
  <si>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</si>
  <si>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</si>
  <si>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</si>
  <si>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</si>
  <si>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</si>
  <si>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</si>
  <si>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</si>
  <si>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</si>
  <si>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</si>
  <si>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</si>
  <si>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</si>
  <si>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</si>
  <si>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</si>
  <si>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</si>
  <si>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</si>
  <si>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</si>
  <si>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</si>
  <si>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</si>
  <si>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</si>
  <si>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</si>
  <si>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</si>
  <si>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</si>
  <si>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</si>
  <si>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</si>
  <si>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</si>
  <si>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</si>
  <si>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</si>
  <si>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</si>
  <si>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</si>
  <si>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</si>
  <si>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</si>
  <si>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</si>
  <si>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</si>
  <si>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</si>
  <si>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</si>
  <si>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</si>
  <si>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</si>
  <si>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</si>
  <si>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</si>
  <si>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</si>
  <si>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</si>
  <si>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</si>
  <si>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</si>
  <si>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</si>
  <si>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</si>
  <si>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</si>
  <si>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</si>
  <si>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</si>
  <si>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</si>
  <si>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</si>
  <si>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</si>
  <si>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</si>
  <si>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</si>
  <si>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</si>
  <si>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</si>
  <si>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</si>
  <si>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</si>
  <si>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</si>
  <si>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</si>
  <si>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</si>
  <si>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</si>
  <si>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</si>
  <si>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</si>
  <si>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</si>
  <si>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</si>
  <si>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</si>
  <si>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</si>
  <si>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</si>
  <si>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</si>
  <si>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</si>
  <si>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</si>
  <si>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</si>
  <si>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</si>
  <si>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</si>
  <si>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</si>
  <si>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</si>
  <si>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</si>
  <si>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</si>
  <si>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</si>
  <si>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</si>
  <si>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</si>
  <si>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</si>
  <si>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</si>
  <si>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</si>
  <si>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</si>
  <si>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</si>
  <si>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</si>
  <si>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</si>
  <si>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</si>
  <si>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</si>
  <si>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</si>
  <si>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</si>
  <si>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</si>
  <si>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</si>
  <si>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</si>
  <si>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</si>
  <si>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</si>
  <si>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</si>
  <si>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</si>
  <si>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</si>
  <si>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</si>
  <si>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</si>
  <si>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</si>
  <si>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</si>
  <si>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</si>
  <si>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</si>
  <si>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</si>
  <si>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</si>
  <si>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</si>
  <si>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</si>
  <si>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</si>
  <si>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</si>
  <si>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</si>
  <si>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</si>
  <si>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</si>
  <si>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</si>
  <si>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</si>
  <si>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</si>
  <si>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</si>
  <si>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</si>
  <si>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</si>
  <si>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</si>
  <si>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</si>
  <si>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</si>
  <si>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</si>
  <si>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</si>
  <si>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</si>
  <si>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</si>
  <si>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</si>
  <si>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</si>
  <si>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</si>
  <si>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</si>
  <si>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</si>
  <si>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</si>
  <si>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</si>
  <si>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</si>
  <si>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</si>
  <si>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</si>
  <si>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</si>
  <si>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</si>
  <si>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</si>
  <si>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</si>
  <si>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</si>
  <si>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</si>
  <si>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</si>
  <si>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</si>
  <si>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</si>
  <si>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</si>
  <si>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</si>
  <si>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</si>
  <si>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</si>
  <si>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</si>
  <si>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</si>
  <si>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</si>
  <si>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</si>
  <si>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</si>
  <si>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</si>
  <si>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</si>
  <si>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</si>
  <si>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</si>
  <si>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</si>
  <si>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</si>
  <si>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</si>
  <si>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</si>
  <si>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</si>
  <si>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</si>
  <si>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</si>
  <si>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</si>
  <si>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</si>
  <si>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</si>
  <si>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</si>
  <si>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</si>
  <si>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</si>
  <si>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</si>
  <si>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</si>
  <si>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</si>
  <si>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</si>
  <si>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</si>
  <si>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</si>
  <si>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</si>
  <si>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</si>
  <si>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</si>
  <si>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</si>
  <si>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</si>
  <si>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</si>
  <si>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</si>
  <si>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</si>
  <si>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</si>
  <si>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</si>
  <si>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</si>
  <si>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</si>
  <si>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</si>
  <si>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</si>
  <si>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</si>
  <si>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</si>
  <si>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</si>
  <si>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</si>
  <si>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</si>
  <si>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</si>
  <si>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</si>
  <si>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</si>
  <si>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</si>
  <si>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</si>
  <si>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</si>
  <si>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</si>
  <si>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</si>
  <si>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</si>
  <si>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</si>
  <si>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</si>
  <si>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</si>
  <si>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</si>
  <si>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</si>
  <si>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</si>
  <si>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</si>
  <si>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</si>
  <si>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</si>
  <si>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</si>
  <si>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</si>
  <si>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</si>
  <si>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</si>
  <si>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</si>
  <si>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</si>
  <si>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</si>
  <si>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</si>
  <si>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</si>
  <si>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</si>
  <si>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</si>
  <si>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</si>
  <si>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</si>
  <si>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</si>
  <si>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</si>
  <si>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</si>
  <si>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</si>
  <si>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</si>
  <si>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</si>
  <si>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</si>
  <si>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</si>
  <si>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</si>
  <si>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</si>
  <si>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</si>
  <si>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</si>
  <si>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</si>
  <si>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</si>
  <si>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</si>
  <si>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</si>
  <si>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</si>
  <si>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</si>
  <si>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</si>
  <si>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</si>
  <si>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</si>
  <si>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</si>
  <si>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</si>
  <si>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</si>
  <si>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</si>
  <si>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</si>
  <si>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</si>
  <si>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</si>
  <si>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</si>
  <si>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</si>
  <si>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</si>
  <si>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</si>
  <si>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</si>
  <si>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</si>
  <si>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</si>
  <si>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</si>
  <si>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</si>
  <si>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</si>
  <si>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</si>
  <si>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</si>
  <si>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</si>
  <si>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</si>
  <si>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</si>
  <si>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</si>
  <si>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</si>
  <si>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</si>
  <si>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</si>
  <si>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</si>
  <si>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</si>
  <si>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</si>
  <si>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</si>
  <si>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</si>
  <si>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</si>
  <si>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</si>
  <si>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</si>
  <si>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</si>
  <si>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</si>
  <si>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</si>
  <si>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</si>
  <si>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</si>
  <si>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</si>
  <si>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</si>
  <si>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</si>
  <si>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</si>
  <si>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</si>
  <si>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</si>
  <si>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</si>
  <si>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</si>
  <si>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</si>
  <si>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</si>
  <si>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</si>
  <si>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</si>
  <si>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</si>
  <si>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</si>
  <si>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</si>
  <si>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</si>
  <si>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</si>
  <si>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</si>
  <si>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</si>
  <si>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</si>
  <si>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</si>
  <si>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</si>
  <si>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</si>
  <si>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</si>
  <si>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</si>
  <si>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</si>
  <si>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</si>
  <si>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</si>
  <si>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</si>
  <si>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</si>
  <si>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</si>
  <si>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</si>
  <si>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</si>
  <si>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</si>
  <si>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</si>
  <si>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</si>
  <si>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</si>
  <si>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</si>
  <si>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</si>
  <si>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</si>
  <si>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</si>
  <si>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</si>
  <si>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</si>
  <si>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</si>
  <si>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</si>
  <si>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</si>
  <si>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</si>
  <si>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</si>
  <si>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</si>
  <si>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</si>
  <si>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</si>
  <si>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</si>
  <si>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</si>
  <si>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</si>
  <si>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</si>
  <si>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</si>
  <si>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</si>
  <si>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</si>
  <si>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</si>
  <si>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</si>
  <si>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</si>
  <si>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</si>
  <si>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</si>
  <si>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</si>
  <si>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</si>
  <si>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</si>
  <si>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</si>
  <si>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</si>
  <si>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</si>
  <si>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</si>
  <si>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</si>
  <si>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</si>
  <si>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</si>
  <si>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</si>
  <si>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</si>
  <si>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</si>
  <si>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</si>
  <si>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</si>
  <si>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</si>
  <si>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</si>
  <si>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</si>
  <si>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</si>
  <si>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</si>
  <si>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</si>
  <si>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</si>
  <si>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</si>
  <si>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</si>
  <si>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</si>
  <si>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</si>
  <si>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</si>
  <si>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</si>
  <si>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</si>
  <si>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</si>
  <si>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</si>
  <si>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</si>
  <si>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</si>
  <si>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</si>
  <si>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</si>
  <si>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</si>
  <si>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</si>
  <si>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</si>
  <si>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</si>
  <si>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</si>
  <si>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</si>
  <si>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</si>
  <si>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</si>
  <si>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</si>
  <si>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</si>
  <si>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</si>
  <si>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</si>
  <si>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</si>
  <si>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</si>
  <si>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</si>
  <si>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</si>
  <si>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</si>
  <si>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</si>
  <si>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</si>
  <si>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</si>
  <si>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</si>
  <si>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</si>
  <si>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</si>
  <si>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</si>
  <si>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</si>
  <si>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</si>
  <si>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</si>
  <si>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</si>
  <si>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</si>
  <si>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</si>
  <si>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</si>
  <si>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</si>
  <si>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</si>
  <si>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</si>
  <si>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</si>
  <si>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</si>
  <si>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</si>
  <si>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</si>
  <si>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</si>
  <si>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</si>
  <si>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</si>
  <si>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</si>
  <si>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</si>
  <si>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</si>
  <si>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</si>
  <si>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</si>
  <si>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</si>
  <si>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</si>
  <si>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</si>
  <si>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</si>
  <si>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</si>
  <si>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</si>
  <si>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</si>
  <si>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</si>
  <si>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</si>
  <si>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</si>
  <si>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</si>
  <si>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</si>
  <si>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</si>
  <si>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</si>
  <si>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</si>
  <si>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</si>
  <si>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</si>
  <si>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</si>
  <si>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</si>
  <si>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</si>
  <si>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</si>
  <si>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</si>
  <si>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</si>
  <si>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</si>
  <si>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</si>
  <si>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</si>
  <si>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</si>
  <si>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</si>
  <si>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</si>
  <si>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</si>
  <si>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</si>
  <si>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</si>
  <si>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</si>
  <si>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</si>
  <si>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</si>
  <si>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</si>
  <si>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</si>
  <si>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</si>
  <si>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</si>
  <si>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</si>
  <si>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</si>
  <si>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</si>
  <si>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</si>
  <si>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</si>
  <si>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</si>
  <si>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</si>
  <si>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</si>
  <si>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</si>
  <si>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</si>
  <si>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</si>
  <si>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</si>
  <si>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</si>
  <si>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</si>
  <si>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</si>
  <si>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</si>
  <si>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</si>
  <si>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</si>
  <si>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</si>
  <si>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</si>
  <si>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</si>
  <si>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</si>
  <si>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</si>
  <si>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</si>
  <si>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</si>
  <si>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</si>
  <si>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</si>
  <si>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</si>
  <si>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</si>
  <si>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</si>
  <si>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</si>
  <si>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</si>
  <si>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</si>
  <si>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</si>
  <si>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</si>
  <si>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</si>
  <si>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</si>
  <si>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</si>
  <si>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</si>
  <si>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</si>
  <si>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</si>
  <si>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</si>
  <si>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</si>
  <si>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</si>
  <si>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</si>
  <si>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</si>
  <si>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</si>
  <si>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</si>
  <si>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</si>
  <si>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</si>
  <si>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</si>
  <si>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</si>
  <si>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</si>
  <si>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</si>
  <si>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</si>
  <si>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</si>
  <si>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</si>
  <si>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</si>
  <si>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</si>
  <si>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</si>
  <si>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</si>
  <si>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</si>
  <si>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</si>
  <si>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</si>
  <si>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</si>
  <si>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</si>
  <si>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</si>
  <si>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</si>
  <si>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</si>
  <si>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</si>
  <si>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</si>
  <si>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</si>
  <si>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</si>
  <si>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</si>
  <si>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</si>
  <si>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</si>
  <si>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</si>
  <si>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</si>
  <si>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</si>
  <si>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</si>
  <si>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</si>
  <si>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</si>
  <si>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</si>
  <si>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</si>
  <si>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</si>
  <si>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</si>
  <si>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</si>
  <si>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</si>
  <si>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</si>
  <si>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</si>
  <si>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</si>
  <si>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</si>
  <si>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</si>
  <si>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</si>
  <si>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</si>
  <si>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</si>
  <si>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</si>
  <si>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</si>
  <si>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</si>
  <si>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</si>
  <si>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</si>
  <si>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</si>
  <si>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</si>
  <si>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</si>
  <si>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</si>
  <si>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</si>
  <si>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</si>
  <si>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</si>
  <si>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</si>
  <si>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</si>
  <si>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</si>
  <si>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</si>
  <si>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</si>
  <si>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</si>
  <si>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</si>
  <si>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</si>
  <si>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</si>
  <si>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</si>
  <si>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</si>
  <si>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</si>
  <si>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</si>
  <si>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</si>
  <si>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</si>
  <si>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</si>
  <si>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</si>
  <si>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</si>
  <si>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</si>
  <si>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</si>
  <si>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</si>
  <si>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</si>
  <si>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</si>
  <si>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</si>
  <si>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</si>
  <si>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</si>
  <si>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</si>
  <si>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</si>
  <si>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</si>
  <si>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</si>
  <si>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</si>
  <si>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</si>
  <si>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</si>
  <si>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</si>
  <si>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</si>
  <si>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</si>
  <si>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</si>
  <si>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</si>
  <si>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</si>
  <si>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</si>
  <si>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</si>
  <si>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</si>
  <si>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</si>
  <si>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</si>
  <si>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</si>
  <si>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</si>
  <si>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</si>
  <si>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</si>
  <si>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</si>
  <si>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</si>
  <si>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</si>
  <si>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</si>
  <si>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</si>
  <si>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</si>
  <si>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</si>
  <si>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</si>
  <si>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</si>
  <si>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</si>
  <si>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</si>
  <si>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</si>
  <si>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</si>
  <si>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</si>
  <si>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</si>
  <si>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</si>
  <si>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</si>
  <si>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Deputy Director</t>
  </si>
  <si>
    <t xml:space="preserve">Deputy Director            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</si>
  <si>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</si>
  <si>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</si>
  <si>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</si>
  <si>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</si>
  <si>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</si>
  <si>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</si>
  <si>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</si>
  <si>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</si>
  <si>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</si>
  <si>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</si>
  <si>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</si>
  <si>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</si>
  <si>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</si>
  <si>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</si>
  <si>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</si>
  <si>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</si>
  <si>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</si>
  <si>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</si>
  <si>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</si>
  <si>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</si>
  <si>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</si>
  <si>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</si>
  <si>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</si>
  <si>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</si>
  <si>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</si>
  <si>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</si>
  <si>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</si>
  <si>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</si>
  <si>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</si>
  <si>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</si>
  <si>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</si>
  <si>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</si>
  <si>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</si>
  <si>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</si>
  <si>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</si>
  <si>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</si>
  <si>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</si>
  <si>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</si>
  <si>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</si>
  <si>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</si>
  <si>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</si>
  <si>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</si>
  <si>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</si>
  <si>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</si>
  <si>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</si>
  <si>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</si>
  <si>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</si>
  <si>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</si>
  <si>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</si>
  <si>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</si>
  <si>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</si>
  <si>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</si>
  <si>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</si>
  <si>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</si>
  <si>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</si>
  <si>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</si>
  <si>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</si>
  <si>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</si>
  <si>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</si>
  <si>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</si>
  <si>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</si>
  <si>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</si>
  <si>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</si>
  <si>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</si>
  <si>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</si>
  <si>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</si>
  <si>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</si>
  <si>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</si>
  <si>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</si>
  <si>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</si>
  <si>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</si>
  <si>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</si>
  <si>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</si>
  <si>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</si>
  <si>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</si>
  <si>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</si>
  <si>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</si>
  <si>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</si>
  <si>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</si>
  <si>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</si>
  <si>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</si>
  <si>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</si>
  <si>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</si>
  <si>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</si>
  <si>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</si>
  <si>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</si>
  <si>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</si>
  <si>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</si>
  <si>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</si>
  <si>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</si>
  <si>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</si>
  <si>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</si>
  <si>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</si>
  <si>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</si>
  <si>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</si>
  <si>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</si>
  <si>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</si>
  <si>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</si>
  <si>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</si>
  <si>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</si>
  <si>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</si>
  <si>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</si>
  <si>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</si>
  <si>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</si>
  <si>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</si>
  <si>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</si>
  <si>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</si>
  <si>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</si>
  <si>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</si>
  <si>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</si>
  <si>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</si>
  <si>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</si>
  <si>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</si>
  <si>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</si>
  <si>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</si>
  <si>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</si>
  <si>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</si>
  <si>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</si>
  <si>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</si>
  <si>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</si>
  <si>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</si>
  <si>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</si>
  <si>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</si>
  <si>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</si>
  <si>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</si>
  <si>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</si>
  <si>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</si>
  <si>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</si>
  <si>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</si>
  <si>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</si>
  <si>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</si>
  <si>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</si>
  <si>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</si>
  <si>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</si>
  <si>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</si>
  <si>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</si>
  <si>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</si>
  <si>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</si>
  <si>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</si>
  <si>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</si>
  <si>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</si>
  <si>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</si>
  <si>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</si>
  <si>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</si>
  <si>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</si>
  <si>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</si>
  <si>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</si>
  <si>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</si>
  <si>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</si>
  <si>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</si>
  <si>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</si>
  <si>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</si>
  <si>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</si>
  <si>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</si>
  <si>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</si>
  <si>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</si>
  <si>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</si>
  <si>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</si>
  <si>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</si>
  <si>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</si>
  <si>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</si>
  <si>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</si>
  <si>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</si>
  <si>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</si>
  <si>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</si>
  <si>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</si>
  <si>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</si>
  <si>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</si>
  <si>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</si>
  <si>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</si>
  <si>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</si>
  <si>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</si>
  <si>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</si>
  <si>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</si>
  <si>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</si>
  <si>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</si>
  <si>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</si>
  <si>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</si>
  <si>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</si>
  <si>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</si>
  <si>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</si>
  <si>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</si>
  <si>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</si>
  <si>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</si>
  <si>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</si>
  <si>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</si>
  <si>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</si>
  <si>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</si>
  <si>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</si>
  <si>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</si>
  <si>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</si>
  <si>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</si>
  <si>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</si>
  <si>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</si>
  <si>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</si>
  <si>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</si>
  <si>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</si>
  <si>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</si>
  <si>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</si>
  <si>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</si>
  <si>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</si>
  <si>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</si>
  <si>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</si>
  <si>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</si>
  <si>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</si>
  <si>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</si>
  <si>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</si>
  <si>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</si>
  <si>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</si>
  <si>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</si>
  <si>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</si>
  <si>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</si>
  <si>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</si>
  <si>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</si>
  <si>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</si>
  <si>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</si>
  <si>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</si>
  <si>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</si>
  <si>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</si>
  <si>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</si>
  <si>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</si>
  <si>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</si>
  <si>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</si>
  <si>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</si>
  <si>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</si>
  <si>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</si>
  <si>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</si>
  <si>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</si>
  <si>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</si>
  <si>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</si>
  <si>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</si>
  <si>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</si>
  <si>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</si>
  <si>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</si>
  <si>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</si>
  <si>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</si>
  <si>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</si>
  <si>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</si>
  <si>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</si>
  <si>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</si>
  <si>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</si>
  <si>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</si>
  <si>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</si>
  <si>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</si>
  <si>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</si>
  <si>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</si>
  <si>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</si>
  <si>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</si>
  <si>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</si>
  <si>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</si>
  <si>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</si>
  <si>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</si>
  <si>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</si>
  <si>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</si>
  <si>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</si>
  <si>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</si>
  <si>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</si>
  <si>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</si>
  <si>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</si>
  <si>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</si>
  <si>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</si>
  <si>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</si>
  <si>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</si>
  <si>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</si>
  <si>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</si>
  <si>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</si>
  <si>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</si>
  <si>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</si>
  <si>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</si>
  <si>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</si>
  <si>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</si>
  <si>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</si>
  <si>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</si>
  <si>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</si>
  <si>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</si>
  <si>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</si>
  <si>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</si>
  <si>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</si>
  <si>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</si>
  <si>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</si>
  <si>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</si>
  <si>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</si>
  <si>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</si>
  <si>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</si>
  <si>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</si>
  <si>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</si>
  <si>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</si>
  <si>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</si>
  <si>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</si>
  <si>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</si>
  <si>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</si>
  <si>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</si>
  <si>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</si>
  <si>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</si>
  <si>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</si>
  <si>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</si>
  <si>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</si>
  <si>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</si>
  <si>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</si>
  <si>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</si>
  <si>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</si>
  <si>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</si>
  <si>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</si>
  <si>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</si>
  <si>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</si>
  <si>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</si>
  <si>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</si>
  <si>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</si>
  <si>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</si>
  <si>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9.00-18.00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</si>
  <si>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</si>
  <si>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</si>
  <si>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</si>
  <si>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</si>
  <si>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</si>
  <si>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</si>
  <si>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</si>
  <si>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</si>
  <si>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</si>
  <si>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</si>
  <si>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</si>
  <si>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</si>
  <si>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</si>
  <si>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</si>
  <si>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</si>
  <si>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</si>
  <si>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</si>
  <si>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</si>
  <si>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</si>
  <si>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</si>
  <si>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</si>
  <si>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</si>
  <si>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</si>
  <si>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</si>
  <si>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</si>
  <si>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</si>
  <si>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</si>
  <si>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</si>
  <si>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</si>
  <si>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</si>
  <si>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</si>
  <si>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</si>
  <si>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</si>
  <si>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</si>
  <si>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</si>
  <si>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</si>
  <si>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</si>
  <si>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</si>
  <si>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</si>
  <si>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</si>
  <si>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</si>
  <si>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</si>
  <si>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</si>
  <si>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</si>
  <si>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</si>
  <si>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</si>
  <si>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</si>
  <si>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</si>
  <si>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</si>
  <si>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</si>
  <si>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</si>
  <si>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</si>
  <si>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</si>
  <si>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</si>
  <si>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</si>
  <si>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</si>
  <si>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</si>
  <si>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</si>
  <si>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</si>
  <si>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</si>
  <si>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</si>
  <si>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</si>
  <si>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</si>
  <si>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</si>
  <si>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</si>
  <si>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</si>
  <si>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</si>
  <si>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</si>
  <si>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</si>
  <si>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</si>
  <si>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</si>
  <si>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</si>
  <si>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</si>
  <si>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</si>
  <si>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</si>
  <si>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</si>
  <si>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</si>
  <si>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</si>
  <si>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</si>
  <si>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</si>
  <si>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</si>
  <si>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</si>
  <si>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</si>
  <si>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</si>
  <si>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</si>
  <si>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</si>
  <si>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</si>
  <si>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</si>
  <si>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2.75-4.00</t>
  </si>
  <si>
    <t>1.25-1.75</t>
  </si>
  <si>
    <t>3.25-3.50</t>
  </si>
  <si>
    <t>4.50-6.25</t>
  </si>
  <si>
    <t>0.50-3.25</t>
  </si>
  <si>
    <t>6.50-7.25</t>
  </si>
  <si>
    <t>7.00-8.50</t>
  </si>
  <si>
    <t>2.00-2.50</t>
  </si>
  <si>
    <t>2.50-3.75</t>
  </si>
  <si>
    <t>1.50-3.00</t>
  </si>
  <si>
    <t>6.00-6.25</t>
  </si>
  <si>
    <t>2.00-7.50</t>
  </si>
  <si>
    <t>1.50-5.50</t>
  </si>
  <si>
    <t>2.50-3.25</t>
  </si>
  <si>
    <t>3.25-7.00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</si>
  <si>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</si>
  <si>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</si>
  <si>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</si>
  <si>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</si>
  <si>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</si>
  <si>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</si>
  <si>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</si>
  <si>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</si>
  <si>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</si>
  <si>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</si>
  <si>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</si>
  <si>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</si>
  <si>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</si>
  <si>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</si>
  <si>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</si>
  <si>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</si>
  <si>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</si>
  <si>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</si>
  <si>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</si>
  <si>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</si>
  <si>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</si>
  <si>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</si>
  <si>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</si>
  <si>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</si>
  <si>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</si>
  <si>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</si>
  <si>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</si>
  <si>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</si>
  <si>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</si>
  <si>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</si>
  <si>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</si>
  <si>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</si>
  <si>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</si>
  <si>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</si>
  <si>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</si>
  <si>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</si>
  <si>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</si>
  <si>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</si>
  <si>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</si>
  <si>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</si>
  <si>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</si>
  <si>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</si>
  <si>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</si>
  <si>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</si>
  <si>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</si>
  <si>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</si>
  <si>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</si>
  <si>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</si>
  <si>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</si>
  <si>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</si>
  <si>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</si>
  <si>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</si>
  <si>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</si>
  <si>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</si>
  <si>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</si>
  <si>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2.75-6.50</t>
  </si>
  <si>
    <t>6.99-9.00</t>
  </si>
  <si>
    <t>0.55-0.85</t>
  </si>
  <si>
    <t>4.50-6.15</t>
  </si>
  <si>
    <t>2.50-6.50</t>
  </si>
  <si>
    <t>4.50-6.50</t>
  </si>
  <si>
    <t>4.50-6.75</t>
  </si>
  <si>
    <t>6.25-6.50</t>
  </si>
  <si>
    <t>0.25-5.50</t>
  </si>
  <si>
    <t>0.30-6.00</t>
  </si>
  <si>
    <t>7.99-8.49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</si>
  <si>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</si>
  <si>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</si>
  <si>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</si>
  <si>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</si>
  <si>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</si>
  <si>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</si>
  <si>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</si>
  <si>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</si>
  <si>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</si>
  <si>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</si>
  <si>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</si>
  <si>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</si>
  <si>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</si>
  <si>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</si>
  <si>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</si>
  <si>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4.25-6.50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</si>
  <si>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</si>
  <si>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</si>
  <si>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</si>
  <si>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</si>
  <si>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r>
      <t>July</t>
    </r>
    <r>
      <rPr>
        <vertAlign val="superscript"/>
        <sz val="8"/>
        <rFont val="Times New Roman"/>
        <family val="1"/>
      </rPr>
      <t>R</t>
    </r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</si>
  <si>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</si>
  <si>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</si>
  <si>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</si>
  <si>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</si>
  <si>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</si>
  <si>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</si>
  <si>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</si>
  <si>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</si>
  <si>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</si>
  <si>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</si>
  <si>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</si>
  <si>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5.50-5.60</t>
  </si>
  <si>
    <t>5.75-6.00</t>
  </si>
  <si>
    <t>5.85-6.00</t>
  </si>
  <si>
    <t>5.50-6.33</t>
  </si>
  <si>
    <t>4.00-5.75</t>
  </si>
  <si>
    <t>4.25-6.00</t>
  </si>
  <si>
    <t>2.25-6.35</t>
  </si>
  <si>
    <t>5.50-6.75</t>
  </si>
  <si>
    <t>5.50-7.00</t>
  </si>
  <si>
    <t>5.00-6.33</t>
  </si>
  <si>
    <t>1.25-4.00</t>
  </si>
  <si>
    <t>4.50-6.38</t>
  </si>
  <si>
    <t>4.50-6.33</t>
  </si>
  <si>
    <t>4.50-6.63</t>
  </si>
  <si>
    <t>2.00-5.81</t>
  </si>
  <si>
    <t>2.50-5.85</t>
  </si>
  <si>
    <t>3.00-5.90</t>
  </si>
  <si>
    <t>4.75-6.50</t>
  </si>
  <si>
    <t>5.00-6.75</t>
  </si>
  <si>
    <t>4.00-7.50</t>
  </si>
  <si>
    <t>6.25-6.75</t>
  </si>
  <si>
    <t>2.00-5.25</t>
  </si>
  <si>
    <t>4.50-6.35</t>
  </si>
  <si>
    <t>3.00-6.33</t>
  </si>
  <si>
    <t>3.50-6.33</t>
  </si>
  <si>
    <t>3.75-6.33</t>
  </si>
  <si>
    <t>6.33-7.00</t>
  </si>
  <si>
    <t>6.35-7.00</t>
  </si>
  <si>
    <t>6.75-7.00</t>
  </si>
  <si>
    <t>3.75-6.00</t>
  </si>
  <si>
    <t>5.50-6.50</t>
  </si>
  <si>
    <t>0.05-4.00</t>
  </si>
  <si>
    <t>4.50-5.00</t>
  </si>
  <si>
    <t>4.75-5.50</t>
  </si>
  <si>
    <t>2.25-7.00</t>
  </si>
  <si>
    <t>2.75-6.88</t>
  </si>
  <si>
    <t>1.75-3.25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</si>
  <si>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</si>
  <si>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</si>
  <si>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</si>
  <si>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</si>
  <si>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</si>
  <si>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 xml:space="preserve"> Data of Bangladesh Govt. Investment Sukuk updated  as on 31 October, 2022</t>
  </si>
  <si>
    <t>Note: Data of Other Treasury Bond updated  as on 31 October, 2022</t>
  </si>
  <si>
    <t>December 2022</t>
  </si>
  <si>
    <t>9.11.222</t>
  </si>
  <si>
    <t>BD0927181059</t>
  </si>
  <si>
    <t>16.11.22</t>
  </si>
  <si>
    <t>16.11.27</t>
  </si>
  <si>
    <t>23.11.22</t>
  </si>
  <si>
    <t>30.11.22</t>
  </si>
  <si>
    <t>Data Of BD(Govt) Treasury Bond updated  as on 30 November, 2022</t>
  </si>
  <si>
    <r>
      <t>October</t>
    </r>
    <r>
      <rPr>
        <vertAlign val="superscript"/>
        <sz val="7.5"/>
        <color indexed="8"/>
        <rFont val="Times New Roman"/>
        <family val="1"/>
      </rPr>
      <t>R</t>
    </r>
  </si>
  <si>
    <t>Bank-wise Announced Interest Rate Structure in Bangladesh (Except Islamic Banks), November 2022</t>
  </si>
  <si>
    <t xml:space="preserve"> IN BANGLADESH (EXCEPT ISLAMIC BANKS), November 2022</t>
  </si>
  <si>
    <t>IN BANGLADESH (EXCEPT ISLAMIC BANKS), November 2022</t>
  </si>
  <si>
    <t>IN BANGLADESH(EXCEPT ISLAMIC BANKS), November 2022</t>
  </si>
  <si>
    <t>5.50-6.17</t>
  </si>
  <si>
    <t>6.13-6.42</t>
  </si>
  <si>
    <t>0.28-1.79</t>
  </si>
  <si>
    <t>2.47-6.37</t>
  </si>
  <si>
    <t>3.24-6.41</t>
  </si>
  <si>
    <t>3.49-6.52</t>
  </si>
  <si>
    <t>3.97-6.45</t>
  </si>
  <si>
    <t>3.75-7.00</t>
  </si>
  <si>
    <t>5.25-6.38</t>
  </si>
  <si>
    <t>5.25-6.45</t>
  </si>
  <si>
    <t>6.25-6.45</t>
  </si>
  <si>
    <t>6.00-6.53</t>
  </si>
  <si>
    <t>6.53-7.11</t>
  </si>
  <si>
    <t>4.25-6.35</t>
  </si>
  <si>
    <t>4.75-6.35</t>
  </si>
  <si>
    <t>4.50-7.00</t>
  </si>
  <si>
    <t>4.50-6.70</t>
  </si>
  <si>
    <t>1.54-2.96</t>
  </si>
  <si>
    <t>3.21-6.43</t>
  </si>
  <si>
    <t>5.00-6.43</t>
  </si>
  <si>
    <t>6.08-6.43</t>
  </si>
  <si>
    <t>4.00-6.66</t>
  </si>
  <si>
    <t>3.00-6.70</t>
  </si>
  <si>
    <t>4.00-6.70</t>
  </si>
  <si>
    <t>5.50-6.70</t>
  </si>
  <si>
    <t>1.50-6.70</t>
  </si>
  <si>
    <t>2.50-7.00</t>
  </si>
  <si>
    <t>6.65-8.00</t>
  </si>
  <si>
    <t>0.05-6.66</t>
  </si>
  <si>
    <t>3.36-6.66</t>
  </si>
  <si>
    <t>0.03-3.33</t>
  </si>
  <si>
    <t>1.25-6.66</t>
  </si>
  <si>
    <t>1.50-6.66</t>
  </si>
  <si>
    <t>1.75-6.66</t>
  </si>
  <si>
    <t>3.00-6.66</t>
  </si>
  <si>
    <t>0.25-4.00</t>
  </si>
  <si>
    <t>2.00-6.88</t>
  </si>
  <si>
    <t>9.00-10.00</t>
  </si>
  <si>
    <r>
      <t>September</t>
    </r>
    <r>
      <rPr>
        <vertAlign val="superscript"/>
        <sz val="8"/>
        <color theme="1"/>
        <rFont val="Times New Roman"/>
        <family val="1"/>
      </rPr>
      <t>R</t>
    </r>
  </si>
  <si>
    <t>30/11/2022</t>
  </si>
  <si>
    <t>Glass       Sheets</t>
  </si>
  <si>
    <t xml:space="preserve">i) BBS: Cotton Yarn, Cotton Cloth, Cigarettes, Oil Products, Food Products &amp; Matches        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</si>
</sst>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6"/>
      <color theme="1"/>
      <name val="Calibri"/>
      <family val="2"/>
      <scheme val="minor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2" fillId="0" borderId="0"/>
    <xf numFmtId="0" fontId="202" fillId="0" borderId="0"/>
    <xf numFmtId="0" fontId="202" fillId="0" borderId="0"/>
  </cellStyleXfs>
  <cellXfs count="2407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2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5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8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0" fillId="0" borderId="61" xfId="0" applyFont="1" applyBorder="1"/>
    <xf numFmtId="2" fontId="110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2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1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1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6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5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0" fontId="0" fillId="0" borderId="0" xfId="0"/>
    <xf numFmtId="1" fontId="33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4" xfId="0" applyFont="1" applyFill="1" applyBorder="1" applyAlignment="1">
      <alignment vertical="center"/>
    </xf>
    <xf numFmtId="0" fontId="0" fillId="0" borderId="0" xfId="0"/>
    <xf numFmtId="0" fontId="122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27" fillId="0" borderId="0" xfId="0" applyFont="1" applyAlignment="1">
      <alignment horizontal="right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0" fontId="15" fillId="0" borderId="2" xfId="0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164" fontId="193" fillId="0" borderId="0" xfId="0" applyNumberFormat="1" applyFont="1" applyFill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4" fontId="38" fillId="0" borderId="0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5" fillId="0" borderId="0" xfId="0" applyFont="1" applyFill="1"/>
    <xf numFmtId="0" fontId="195" fillId="34" borderId="0" xfId="0" applyFont="1" applyFill="1"/>
    <xf numFmtId="164" fontId="195" fillId="34" borderId="0" xfId="0" applyNumberFormat="1" applyFont="1" applyFill="1"/>
    <xf numFmtId="0" fontId="196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1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1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3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8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9" fillId="0" borderId="0" xfId="196" applyFont="1" applyAlignment="1">
      <alignment horizontal="left" vertical="top"/>
    </xf>
    <xf numFmtId="0" fontId="40" fillId="0" borderId="6" xfId="0" applyFont="1" applyFill="1" applyBorder="1" applyAlignment="1">
      <alignment horizontal="left" vertical="center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2" fontId="110" fillId="34" borderId="0" xfId="0" applyNumberFormat="1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201" fillId="0" borderId="0" xfId="0" applyFont="1"/>
    <xf numFmtId="0" fontId="198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3" fillId="34" borderId="6" xfId="0" applyFont="1" applyFill="1" applyBorder="1" applyAlignment="1">
      <alignment horizontal="left" vertical="center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62" xfId="0" applyNumberFormat="1" applyFont="1" applyBorder="1" applyAlignment="1"/>
    <xf numFmtId="2" fontId="110" fillId="0" borderId="62" xfId="0" applyNumberFormat="1" applyFont="1" applyBorder="1" applyAlignment="1">
      <alignment horizontal="center" vertical="center"/>
    </xf>
    <xf numFmtId="2" fontId="110" fillId="0" borderId="6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/>
    <xf numFmtId="1" fontId="110" fillId="0" borderId="0" xfId="0" applyNumberFormat="1" applyFont="1"/>
    <xf numFmtId="0" fontId="40" fillId="34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 vertical="center"/>
    </xf>
    <xf numFmtId="0" fontId="148" fillId="0" borderId="11" xfId="0" applyFont="1" applyBorder="1" applyAlignment="1"/>
    <xf numFmtId="2" fontId="13" fillId="34" borderId="6" xfId="0" applyNumberFormat="1" applyFont="1" applyFill="1" applyBorder="1" applyAlignment="1">
      <alignment horizontal="left" vertical="center"/>
    </xf>
    <xf numFmtId="164" fontId="60" fillId="0" borderId="0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Alignment="1">
      <alignment horizontal="center" vertical="center"/>
    </xf>
    <xf numFmtId="164" fontId="82" fillId="0" borderId="0" xfId="0" applyNumberFormat="1" applyFont="1" applyAlignment="1">
      <alignment horizontal="left" wrapText="1"/>
    </xf>
    <xf numFmtId="2" fontId="118" fillId="34" borderId="6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0" fontId="15" fillId="0" borderId="6" xfId="0" applyFont="1" applyFill="1" applyBorder="1" applyAlignment="1">
      <alignment horizontal="left"/>
    </xf>
    <xf numFmtId="1" fontId="133" fillId="34" borderId="0" xfId="0" applyNumberFormat="1" applyFont="1" applyFill="1"/>
    <xf numFmtId="0" fontId="133" fillId="0" borderId="0" xfId="0" applyFont="1" applyFill="1"/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38" fillId="0" borderId="0" xfId="0" applyFont="1" applyBorder="1" applyAlignment="1">
      <alignment horizontal="left" vertical="top" wrapText="1"/>
    </xf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164" fontId="110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/>
    <xf numFmtId="2" fontId="118" fillId="0" borderId="6" xfId="0" applyNumberFormat="1" applyFont="1" applyFill="1" applyBorder="1" applyAlignment="1">
      <alignment horizontal="center" vertical="center" wrapText="1"/>
    </xf>
    <xf numFmtId="166" fontId="15" fillId="34" borderId="6" xfId="0" applyNumberFormat="1" applyFont="1" applyFill="1" applyBorder="1" applyAlignment="1">
      <alignment horizontal="center" vertic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/>
    </xf>
    <xf numFmtId="164" fontId="166" fillId="34" borderId="6" xfId="0" applyNumberFormat="1" applyFont="1" applyFill="1" applyBorder="1" applyAlignment="1">
      <alignment horizontal="center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164" fontId="118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right" vertical="center"/>
    </xf>
    <xf numFmtId="0" fontId="15" fillId="34" borderId="6" xfId="0" applyFont="1" applyFill="1" applyBorder="1" applyAlignment="1">
      <alignment horizontal="left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0" fontId="110" fillId="34" borderId="6" xfId="0" applyFont="1" applyFill="1" applyBorder="1" applyAlignment="1">
      <alignment horizontal="left"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/>
    </xf>
    <xf numFmtId="2" fontId="110" fillId="0" borderId="0" xfId="0" applyNumberFormat="1" applyFont="1" applyFill="1" applyBorder="1" applyAlignment="1">
      <alignment horizontal="center" vertical="top" wrapText="1"/>
    </xf>
    <xf numFmtId="166" fontId="15" fillId="0" borderId="0" xfId="0" applyNumberFormat="1" applyFont="1" applyBorder="1"/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6" xfId="0" applyFont="1" applyFill="1" applyBorder="1" applyAlignment="1">
      <alignment horizontal="center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1" fontId="64" fillId="0" borderId="0" xfId="0" applyNumberFormat="1" applyFont="1"/>
    <xf numFmtId="1" fontId="130" fillId="0" borderId="0" xfId="0" applyNumberFormat="1" applyFont="1" applyFill="1" applyBorder="1"/>
    <xf numFmtId="1" fontId="189" fillId="0" borderId="0" xfId="0" applyNumberFormat="1" applyFont="1"/>
    <xf numFmtId="1" fontId="0" fillId="0" borderId="0" xfId="0" applyNumberFormat="1"/>
    <xf numFmtId="164" fontId="203" fillId="0" borderId="0" xfId="0" applyNumberFormat="1" applyFo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center" vertical="center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15" fillId="34" borderId="6" xfId="0" applyFont="1" applyFill="1" applyBorder="1" applyAlignment="1"/>
    <xf numFmtId="2" fontId="13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righ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 wrapText="1"/>
    </xf>
    <xf numFmtId="0" fontId="29" fillId="0" borderId="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4" fontId="110" fillId="39" borderId="6" xfId="0" applyNumberFormat="1" applyFont="1" applyFill="1" applyBorder="1" applyAlignment="1">
      <alignment horizontal="center" vertical="center" wrapText="1"/>
    </xf>
    <xf numFmtId="4" fontId="110" fillId="0" borderId="6" xfId="268" applyNumberFormat="1" applyFont="1" applyFill="1" applyBorder="1" applyAlignment="1">
      <alignment horizontal="center" vertical="center" wrapText="1"/>
    </xf>
    <xf numFmtId="4" fontId="110" fillId="0" borderId="6" xfId="269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136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 vertical="top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8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1" xfId="0" applyNumberFormat="1" applyFont="1" applyFill="1" applyBorder="1" applyAlignment="1">
      <alignment horizontal="center" vertical="center" wrapText="1"/>
    </xf>
    <xf numFmtId="49" fontId="127" fillId="0" borderId="45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4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0" fontId="122" fillId="0" borderId="47" xfId="0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/>
    </xf>
    <xf numFmtId="0" fontId="122" fillId="0" borderId="48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51" xfId="0" applyFont="1" applyFill="1" applyBorder="1" applyAlignment="1">
      <alignment horizontal="center" vertical="center"/>
    </xf>
    <xf numFmtId="0" fontId="124" fillId="0" borderId="45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1" fontId="128" fillId="0" borderId="44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/>
    </xf>
    <xf numFmtId="49" fontId="110" fillId="0" borderId="45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horizontal="center" vertical="center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8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1" xfId="0" applyNumberFormat="1" applyFont="1" applyFill="1" applyBorder="1" applyAlignment="1">
      <alignment horizontal="center" vertical="center" wrapText="1"/>
    </xf>
    <xf numFmtId="49" fontId="120" fillId="0" borderId="51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1" xfId="0" applyFont="1" applyFill="1" applyBorder="1" applyAlignment="1">
      <alignment horizontal="center" vertical="center" wrapText="1"/>
    </xf>
    <xf numFmtId="0" fontId="122" fillId="0" borderId="5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8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1" xfId="0" applyFont="1" applyFill="1" applyBorder="1" applyAlignment="1">
      <alignment horizontal="center" vertical="center" wrapText="1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30" fillId="0" borderId="45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45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vertical="center"/>
    </xf>
    <xf numFmtId="0" fontId="0" fillId="0" borderId="42" xfId="0" applyBorder="1"/>
    <xf numFmtId="0" fontId="0" fillId="0" borderId="43" xfId="0" applyBorder="1"/>
    <xf numFmtId="0" fontId="124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4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8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1" xfId="0" applyNumberFormat="1" applyFont="1" applyFill="1" applyBorder="1" applyAlignment="1">
      <alignment horizontal="center" vertical="center" wrapText="1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1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4" xfId="0" applyNumberFormat="1" applyFont="1" applyFill="1" applyBorder="1" applyAlignment="1">
      <alignment horizontal="left" vertical="center" wrapText="1"/>
    </xf>
    <xf numFmtId="49" fontId="137" fillId="0" borderId="45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45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42" xfId="0" applyNumberFormat="1" applyFont="1" applyFill="1" applyBorder="1" applyAlignment="1">
      <alignment horizontal="center" vertical="center"/>
    </xf>
    <xf numFmtId="1" fontId="128" fillId="0" borderId="44" xfId="0" applyNumberFormat="1" applyFont="1" applyFill="1" applyBorder="1" applyAlignment="1">
      <alignment horizontal="center" vertical="center" wrapText="1"/>
    </xf>
    <xf numFmtId="1" fontId="170" fillId="0" borderId="44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1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7" fillId="0" borderId="44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4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1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4" xfId="0" applyFont="1" applyBorder="1" applyAlignment="1">
      <alignment horizontal="center" vertical="center" wrapText="1"/>
    </xf>
    <xf numFmtId="0" fontId="13" fillId="0" borderId="62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6" fillId="0" borderId="41" xfId="0" applyFont="1" applyBorder="1" applyAlignment="1">
      <alignment horizontal="righ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4" xfId="0" applyFont="1" applyBorder="1" applyAlignment="1">
      <alignment horizontal="left"/>
    </xf>
    <xf numFmtId="0" fontId="123" fillId="0" borderId="62" xfId="0" applyFont="1" applyBorder="1" applyAlignment="1">
      <alignment horizontal="left"/>
    </xf>
    <xf numFmtId="0" fontId="123" fillId="0" borderId="6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1" xfId="0" applyFont="1" applyBorder="1" applyAlignment="1">
      <alignment horizontal="right"/>
    </xf>
    <xf numFmtId="0" fontId="110" fillId="0" borderId="42" xfId="0" applyFont="1" applyBorder="1" applyAlignment="1">
      <alignment horizontal="right"/>
    </xf>
    <xf numFmtId="0" fontId="110" fillId="0" borderId="44" xfId="0" applyFont="1" applyBorder="1" applyAlignment="1">
      <alignment horizontal="center" vertical="center" wrapText="1"/>
    </xf>
    <xf numFmtId="0" fontId="110" fillId="0" borderId="43" xfId="0" applyFont="1" applyBorder="1" applyAlignment="1">
      <alignment horizontal="center" vertical="center" wrapText="1"/>
    </xf>
    <xf numFmtId="0" fontId="163" fillId="0" borderId="44" xfId="0" applyFont="1" applyBorder="1" applyAlignment="1">
      <alignment horizontal="center"/>
    </xf>
    <xf numFmtId="0" fontId="62" fillId="0" borderId="42" xfId="0" applyFont="1" applyBorder="1"/>
    <xf numFmtId="0" fontId="62" fillId="0" borderId="43" xfId="0" applyFont="1" applyBorder="1"/>
    <xf numFmtId="0" fontId="123" fillId="0" borderId="44" xfId="0" applyFont="1" applyBorder="1" applyAlignment="1">
      <alignment horizontal="center"/>
    </xf>
    <xf numFmtId="0" fontId="123" fillId="0" borderId="42" xfId="0" applyFont="1" applyBorder="1" applyAlignment="1">
      <alignment horizontal="center"/>
    </xf>
    <xf numFmtId="0" fontId="123" fillId="0" borderId="43" xfId="0" applyFont="1" applyBorder="1" applyAlignment="1">
      <alignment horizontal="center"/>
    </xf>
    <xf numFmtId="0" fontId="163" fillId="0" borderId="44" xfId="0" applyFont="1" applyBorder="1" applyAlignment="1">
      <alignment horizontal="center" vertical="top" wrapText="1"/>
    </xf>
    <xf numFmtId="0" fontId="133" fillId="0" borderId="45" xfId="0" applyFont="1" applyBorder="1" applyAlignment="1">
      <alignment horizontal="center" vertical="top" wrapText="1"/>
    </xf>
    <xf numFmtId="0" fontId="181" fillId="0" borderId="45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120" fillId="0" borderId="44" xfId="196" applyFont="1" applyBorder="1" applyAlignment="1">
      <alignment horizontal="center"/>
    </xf>
    <xf numFmtId="0" fontId="15" fillId="0" borderId="42" xfId="196" applyFont="1" applyBorder="1"/>
    <xf numFmtId="0" fontId="15" fillId="0" borderId="43" xfId="196" applyFont="1" applyBorder="1"/>
    <xf numFmtId="0" fontId="120" fillId="0" borderId="42" xfId="196" applyFont="1" applyBorder="1" applyAlignment="1">
      <alignment horizontal="center"/>
    </xf>
    <xf numFmtId="0" fontId="120" fillId="0" borderId="43" xfId="196" applyFont="1" applyBorder="1" applyAlignment="1">
      <alignment horizontal="center"/>
    </xf>
    <xf numFmtId="0" fontId="120" fillId="0" borderId="4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4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120" fillId="0" borderId="43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5" fillId="34" borderId="6" xfId="0" applyFont="1" applyFill="1" applyBorder="1" applyAlignment="1">
      <alignment horizontal="left" vertical="top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</xdr:row>
      <xdr:rowOff>190501</xdr:rowOff>
    </xdr:from>
    <xdr:to>
      <xdr:col>10</xdr:col>
      <xdr:colOff>35719</xdr:colOff>
      <xdr:row>27</xdr:row>
      <xdr:rowOff>11907</xdr:rowOff>
    </xdr:to>
    <xdr:pic>
      <xdr:nvPicPr>
        <xdr:cNvPr id="6" name="Picture 5" descr="D:\December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1" y="857251"/>
          <a:ext cx="5298282" cy="5893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opLeftCell="A43" zoomScale="80" zoomScaleNormal="80" workbookViewId="0">
      <selection activeCell="Y29" sqref="Y29"/>
    </sheetView>
  </sheetViews>
  <sheetFormatPr defaultRowHeight="12.75"/>
  <cols>
    <col min="1" max="1" width="3.42578125" style="198" customWidth="1"/>
    <col min="2" max="2" width="3.28515625" style="85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7" customWidth="1"/>
    <col min="13" max="13" width="3.140625" style="207" customWidth="1"/>
    <col min="14" max="14" width="7.42578125" style="207" customWidth="1"/>
    <col min="15" max="15" width="8.5703125" style="207" customWidth="1"/>
    <col min="16" max="18" width="9.140625" style="207" customWidth="1"/>
    <col min="19" max="19" width="11" style="207" customWidth="1"/>
    <col min="20" max="20" width="12.5703125" style="207" customWidth="1"/>
    <col min="21" max="96" width="9.140625" style="207" customWidth="1"/>
  </cols>
  <sheetData>
    <row r="1" spans="1:96">
      <c r="B1" s="436"/>
      <c r="C1" s="210"/>
      <c r="D1" s="210"/>
      <c r="E1" s="210"/>
      <c r="F1" s="210"/>
      <c r="G1" s="210"/>
      <c r="H1" s="210"/>
      <c r="I1" s="210"/>
      <c r="J1" s="210"/>
      <c r="K1" s="210"/>
    </row>
    <row r="2" spans="1:96">
      <c r="B2" s="437"/>
      <c r="C2" s="210"/>
      <c r="D2" s="210"/>
      <c r="E2" s="210"/>
      <c r="F2" s="210"/>
      <c r="G2" s="210"/>
      <c r="H2" s="210"/>
      <c r="I2" s="210"/>
      <c r="J2" s="210"/>
      <c r="K2" s="210"/>
    </row>
    <row r="3" spans="1:96">
      <c r="B3" s="437"/>
      <c r="C3" s="210"/>
      <c r="D3" s="210"/>
      <c r="E3" s="210"/>
      <c r="F3" s="210"/>
      <c r="G3" s="210"/>
      <c r="H3" s="210"/>
      <c r="I3" s="210"/>
      <c r="J3" s="210"/>
      <c r="K3" s="210"/>
    </row>
    <row r="4" spans="1:96">
      <c r="B4" s="437"/>
      <c r="C4" s="210"/>
      <c r="D4" s="210"/>
      <c r="E4" s="210"/>
      <c r="F4" s="210"/>
      <c r="G4" s="210"/>
      <c r="H4" s="210"/>
      <c r="I4" s="210"/>
      <c r="J4" s="210"/>
      <c r="K4" s="210"/>
      <c r="M4" s="208"/>
    </row>
    <row r="5" spans="1:96" ht="16.5" customHeight="1" thickBot="1">
      <c r="B5" s="437"/>
      <c r="C5" s="210"/>
      <c r="D5" s="210"/>
      <c r="E5" s="210"/>
      <c r="F5" s="210"/>
      <c r="G5" s="210"/>
      <c r="H5" s="210"/>
      <c r="I5" s="210"/>
      <c r="J5" s="210"/>
      <c r="K5" s="210"/>
    </row>
    <row r="6" spans="1:96" ht="11.25" customHeight="1">
      <c r="B6" s="437"/>
      <c r="C6" s="210"/>
      <c r="D6" s="210"/>
      <c r="F6" s="210"/>
      <c r="G6" s="210"/>
      <c r="H6" s="210"/>
      <c r="I6" s="210"/>
      <c r="J6" s="210"/>
      <c r="K6" s="210"/>
      <c r="M6" s="404"/>
      <c r="N6" s="405"/>
      <c r="O6" s="405"/>
      <c r="P6" s="405"/>
      <c r="Q6" s="405"/>
      <c r="R6" s="405"/>
      <c r="S6" s="405"/>
      <c r="T6" s="406"/>
    </row>
    <row r="7" spans="1:96" s="1409" customFormat="1" ht="31.5" customHeight="1">
      <c r="A7" s="198"/>
      <c r="B7" s="437"/>
      <c r="C7" s="210"/>
      <c r="D7" s="210"/>
      <c r="F7" s="210"/>
      <c r="G7" s="210"/>
      <c r="H7" s="210"/>
      <c r="I7" s="210"/>
      <c r="J7" s="210"/>
      <c r="K7" s="210"/>
      <c r="L7" s="207"/>
      <c r="M7" s="407"/>
      <c r="N7" s="208"/>
      <c r="O7" s="208"/>
      <c r="P7" s="208"/>
      <c r="Q7" s="1483" t="s">
        <v>2460</v>
      </c>
      <c r="R7" s="208"/>
      <c r="S7" s="208"/>
      <c r="T7" s="408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</row>
    <row r="8" spans="1:96" s="1409" customFormat="1" ht="18" customHeight="1">
      <c r="A8" s="198"/>
      <c r="B8" s="437"/>
      <c r="C8" s="210"/>
      <c r="D8" s="210"/>
      <c r="F8" s="210"/>
      <c r="G8" s="210"/>
      <c r="H8" s="210"/>
      <c r="I8" s="210"/>
      <c r="J8" s="210"/>
      <c r="K8" s="210"/>
      <c r="L8" s="207"/>
      <c r="M8" s="407"/>
      <c r="N8" s="208"/>
      <c r="O8" s="1748" t="s">
        <v>2461</v>
      </c>
      <c r="P8" s="1748"/>
      <c r="Q8" s="1748"/>
      <c r="R8" s="1748"/>
      <c r="S8" s="1748"/>
      <c r="T8" s="408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</row>
    <row r="9" spans="1:96" s="1409" customFormat="1" ht="15" customHeight="1">
      <c r="A9" s="198"/>
      <c r="B9" s="437"/>
      <c r="C9" s="210"/>
      <c r="D9" s="210"/>
      <c r="F9" s="210"/>
      <c r="G9" s="210"/>
      <c r="H9" s="210"/>
      <c r="I9" s="210"/>
      <c r="J9" s="210"/>
      <c r="K9" s="210"/>
      <c r="L9" s="207"/>
      <c r="M9" s="407"/>
      <c r="N9" s="208"/>
      <c r="O9" s="1484"/>
      <c r="P9" s="1485" t="s">
        <v>2462</v>
      </c>
      <c r="Q9" s="1486"/>
      <c r="R9" s="1486"/>
      <c r="S9" s="1486"/>
      <c r="T9" s="408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</row>
    <row r="10" spans="1:96" ht="15.75">
      <c r="A10" s="199"/>
      <c r="B10" s="437"/>
      <c r="C10" s="199"/>
      <c r="D10" s="388"/>
      <c r="E10" s="199"/>
      <c r="F10" s="199"/>
      <c r="G10" s="199"/>
      <c r="H10" s="210"/>
      <c r="I10" s="199"/>
      <c r="J10" s="199"/>
      <c r="K10" s="199"/>
      <c r="M10" s="407"/>
      <c r="N10" s="724"/>
      <c r="O10" s="724"/>
      <c r="P10" s="724"/>
      <c r="Q10" s="724"/>
      <c r="R10" s="724"/>
      <c r="S10" s="724"/>
      <c r="T10" s="408"/>
    </row>
    <row r="11" spans="1:96" ht="21">
      <c r="A11" s="199"/>
      <c r="B11" s="437"/>
      <c r="C11" s="199"/>
      <c r="D11" s="388"/>
      <c r="E11" s="199"/>
      <c r="F11" s="199"/>
      <c r="G11" s="199"/>
      <c r="H11" s="199"/>
      <c r="I11" s="199"/>
      <c r="J11" s="199"/>
      <c r="K11" s="199"/>
      <c r="M11" s="407"/>
      <c r="N11" s="724"/>
      <c r="O11" s="724"/>
      <c r="P11" s="743"/>
      <c r="Q11" s="744" t="s">
        <v>863</v>
      </c>
      <c r="R11" s="743"/>
      <c r="S11" s="724"/>
      <c r="T11" s="408"/>
    </row>
    <row r="12" spans="1:96" ht="14.25" customHeight="1">
      <c r="A12" s="199"/>
      <c r="B12" s="437"/>
      <c r="C12" s="199"/>
      <c r="D12" s="388"/>
      <c r="E12" s="199"/>
      <c r="F12" s="199"/>
      <c r="G12" s="199"/>
      <c r="H12" s="199"/>
      <c r="I12" s="199"/>
      <c r="J12" s="199"/>
      <c r="K12" s="199"/>
      <c r="M12" s="407"/>
      <c r="N12" s="724"/>
      <c r="O12" s="724"/>
      <c r="P12" s="730"/>
      <c r="Q12" s="730"/>
      <c r="R12" s="730"/>
      <c r="S12" s="724"/>
      <c r="T12" s="408"/>
    </row>
    <row r="13" spans="1:96" ht="18.75" customHeight="1">
      <c r="A13" s="199"/>
      <c r="B13" s="437"/>
      <c r="C13" s="199"/>
      <c r="D13" s="388"/>
      <c r="E13" s="199"/>
      <c r="F13" s="199"/>
      <c r="G13" s="199"/>
      <c r="H13" s="199"/>
      <c r="I13" s="199"/>
      <c r="J13" s="199"/>
      <c r="K13" s="199"/>
      <c r="M13" s="407"/>
      <c r="N13" s="724"/>
      <c r="O13" s="724"/>
      <c r="P13" s="730"/>
      <c r="Q13" s="745" t="s">
        <v>864</v>
      </c>
      <c r="R13" s="730"/>
      <c r="S13" s="724"/>
      <c r="T13" s="408"/>
    </row>
    <row r="14" spans="1:96" ht="16.5" customHeight="1">
      <c r="A14" s="199"/>
      <c r="B14" s="437"/>
      <c r="C14" s="199"/>
      <c r="D14" s="388"/>
      <c r="E14" s="199"/>
      <c r="F14" s="199"/>
      <c r="G14" s="199"/>
      <c r="H14" s="199"/>
      <c r="I14" s="199"/>
      <c r="J14" s="199"/>
      <c r="K14" s="199"/>
      <c r="M14" s="407"/>
      <c r="N14" s="964"/>
      <c r="O14" s="1751" t="s">
        <v>2447</v>
      </c>
      <c r="P14" s="1751"/>
      <c r="Q14" s="1751"/>
      <c r="R14" s="1751"/>
      <c r="S14" s="1751"/>
      <c r="T14" s="408"/>
    </row>
    <row r="15" spans="1:96" ht="19.5" customHeight="1">
      <c r="A15" s="199"/>
      <c r="B15" s="437"/>
      <c r="C15" s="199"/>
      <c r="D15" s="388"/>
      <c r="E15" s="199"/>
      <c r="F15" s="199"/>
      <c r="G15" s="199"/>
      <c r="H15" s="199"/>
      <c r="I15" s="199"/>
      <c r="J15" s="199"/>
      <c r="K15" s="199"/>
      <c r="M15" s="407"/>
      <c r="N15" s="1749" t="s">
        <v>1772</v>
      </c>
      <c r="O15" s="1749"/>
      <c r="P15" s="1749"/>
      <c r="Q15" s="1749"/>
      <c r="R15" s="1749"/>
      <c r="S15" s="1749"/>
      <c r="T15" s="408"/>
    </row>
    <row r="16" spans="1:96" ht="14.25" customHeight="1">
      <c r="A16" s="199"/>
      <c r="B16" s="437"/>
      <c r="C16" s="199"/>
      <c r="D16" s="388"/>
      <c r="E16" s="199"/>
      <c r="F16" s="199"/>
      <c r="G16" s="199"/>
      <c r="H16" s="199"/>
      <c r="I16" s="199"/>
      <c r="J16" s="199"/>
      <c r="K16" s="199"/>
      <c r="M16" s="407"/>
      <c r="N16" s="843"/>
      <c r="O16" s="843"/>
      <c r="P16" s="844"/>
      <c r="Q16" s="844"/>
      <c r="R16" s="844"/>
      <c r="S16" s="843"/>
      <c r="T16" s="408"/>
      <c r="W16" s="924"/>
      <c r="X16" s="963"/>
    </row>
    <row r="17" spans="1:21" ht="11.25" customHeight="1">
      <c r="A17" s="199"/>
      <c r="B17" s="437"/>
      <c r="C17" s="199"/>
      <c r="D17" s="388"/>
      <c r="E17" s="199"/>
      <c r="F17" s="199"/>
      <c r="G17" s="199"/>
      <c r="H17" s="199"/>
      <c r="I17" s="199"/>
      <c r="J17" s="199"/>
      <c r="K17" s="199"/>
      <c r="M17" s="407"/>
      <c r="N17" s="724"/>
      <c r="O17" s="724"/>
      <c r="P17" s="730"/>
      <c r="Q17" s="730"/>
      <c r="R17" s="730"/>
      <c r="S17" s="724"/>
      <c r="T17" s="408"/>
    </row>
    <row r="18" spans="1:21" ht="39.75" customHeight="1">
      <c r="A18" s="199"/>
      <c r="B18" s="437"/>
      <c r="C18" s="199"/>
      <c r="D18" s="388"/>
      <c r="E18" s="199"/>
      <c r="F18" s="1761"/>
      <c r="G18" s="1761"/>
      <c r="H18" s="1761"/>
      <c r="I18" s="1761"/>
      <c r="J18" s="1761"/>
      <c r="K18" s="199"/>
      <c r="M18" s="407"/>
      <c r="N18" s="724"/>
      <c r="O18" s="724"/>
      <c r="P18" s="730"/>
      <c r="Q18" s="745" t="s">
        <v>865</v>
      </c>
      <c r="R18" s="730"/>
      <c r="S18" s="724"/>
      <c r="T18" s="408"/>
    </row>
    <row r="19" spans="1:21" ht="50.25" customHeight="1">
      <c r="A19" s="199"/>
      <c r="B19" s="437"/>
      <c r="C19" s="199"/>
      <c r="D19" s="388"/>
      <c r="E19" s="1762"/>
      <c r="F19" s="1762"/>
      <c r="G19" s="1762"/>
      <c r="H19" s="1762"/>
      <c r="I19" s="1762"/>
      <c r="J19" s="1762"/>
      <c r="K19" s="1762"/>
      <c r="M19" s="407"/>
      <c r="N19" s="724"/>
      <c r="O19" s="724"/>
      <c r="P19" s="1775" t="s">
        <v>2448</v>
      </c>
      <c r="Q19" s="1775"/>
      <c r="R19" s="1775"/>
      <c r="S19" s="1775"/>
      <c r="T19" s="408"/>
    </row>
    <row r="20" spans="1:21" ht="39.75" customHeight="1">
      <c r="A20" s="199"/>
      <c r="B20" s="437"/>
      <c r="C20" s="199"/>
      <c r="D20" s="388"/>
      <c r="E20" s="389"/>
      <c r="F20" s="1776"/>
      <c r="G20" s="1776"/>
      <c r="H20" s="1776"/>
      <c r="I20" s="1776"/>
      <c r="J20" s="1776"/>
      <c r="K20" s="389"/>
      <c r="M20" s="407"/>
      <c r="N20" s="724"/>
      <c r="O20" s="724"/>
      <c r="P20" s="1777" t="s">
        <v>2581</v>
      </c>
      <c r="Q20" s="1777"/>
      <c r="R20" s="1777"/>
      <c r="S20" s="1777"/>
      <c r="T20" s="408"/>
    </row>
    <row r="21" spans="1:21" ht="24" customHeight="1">
      <c r="A21" s="199"/>
      <c r="B21" s="437"/>
      <c r="C21" s="199"/>
      <c r="D21" s="388"/>
      <c r="E21" s="199"/>
      <c r="F21" s="199"/>
      <c r="G21" s="199"/>
      <c r="H21" s="199"/>
      <c r="I21" s="199"/>
      <c r="J21" s="199"/>
      <c r="K21" s="199"/>
      <c r="M21" s="407"/>
      <c r="N21" s="724"/>
      <c r="O21" s="923"/>
      <c r="P21" s="1772" t="s">
        <v>1753</v>
      </c>
      <c r="Q21" s="1772"/>
      <c r="R21" s="1772"/>
      <c r="S21" s="1772"/>
      <c r="T21" s="408"/>
    </row>
    <row r="22" spans="1:21" ht="12" customHeight="1">
      <c r="A22" s="199"/>
      <c r="B22" s="437"/>
      <c r="C22" s="199"/>
      <c r="D22" s="388"/>
      <c r="E22" s="199"/>
      <c r="F22" s="199"/>
      <c r="G22" s="199"/>
      <c r="H22" s="199"/>
      <c r="I22" s="199"/>
      <c r="J22" s="199"/>
      <c r="K22" s="199"/>
      <c r="M22" s="407"/>
      <c r="N22" s="724"/>
      <c r="O22" s="923"/>
      <c r="P22" s="1772"/>
      <c r="Q22" s="1772"/>
      <c r="R22" s="1772"/>
      <c r="S22" s="1772"/>
      <c r="T22" s="408"/>
    </row>
    <row r="23" spans="1:21" ht="13.5" customHeight="1">
      <c r="A23" s="199"/>
      <c r="B23" s="437"/>
      <c r="C23" s="199"/>
      <c r="D23" s="388"/>
      <c r="E23" s="199"/>
      <c r="F23" s="199"/>
      <c r="G23" s="199"/>
      <c r="H23" s="199"/>
      <c r="I23" s="199"/>
      <c r="J23" s="199"/>
      <c r="K23" s="199"/>
      <c r="M23" s="407"/>
      <c r="N23" s="724"/>
      <c r="O23" s="923"/>
      <c r="P23" s="1772"/>
      <c r="Q23" s="1772"/>
      <c r="R23" s="1772"/>
      <c r="S23" s="1772"/>
      <c r="T23" s="408"/>
    </row>
    <row r="24" spans="1:21" ht="15" customHeight="1">
      <c r="A24" s="199"/>
      <c r="B24" s="437"/>
      <c r="C24" s="199"/>
      <c r="D24" s="388"/>
      <c r="E24" s="199"/>
      <c r="F24" s="199"/>
      <c r="G24" s="199"/>
      <c r="H24" s="199"/>
      <c r="I24" s="199"/>
      <c r="J24" s="199"/>
      <c r="K24" s="199"/>
      <c r="M24" s="407"/>
      <c r="N24" s="724"/>
      <c r="O24" s="925"/>
      <c r="P24" s="926" t="s">
        <v>1750</v>
      </c>
      <c r="Q24" s="926"/>
      <c r="R24" s="926"/>
      <c r="S24" s="922"/>
      <c r="T24" s="408"/>
    </row>
    <row r="25" spans="1:21" ht="16.5" customHeight="1">
      <c r="A25" s="199"/>
      <c r="B25" s="437"/>
      <c r="C25" s="199"/>
      <c r="D25" s="388"/>
      <c r="E25" s="199"/>
      <c r="F25" s="199"/>
      <c r="G25" s="199"/>
      <c r="H25" s="199"/>
      <c r="I25" s="199"/>
      <c r="J25" s="199"/>
      <c r="K25" s="199"/>
      <c r="M25" s="407"/>
      <c r="N25" s="724"/>
      <c r="O25" s="724"/>
      <c r="P25" s="927" t="s">
        <v>2092</v>
      </c>
      <c r="Q25" s="927"/>
      <c r="R25" s="927"/>
      <c r="S25" s="921"/>
      <c r="T25" s="408"/>
      <c r="U25" s="852"/>
    </row>
    <row r="26" spans="1:21" ht="22.5" customHeight="1">
      <c r="A26" s="199"/>
      <c r="B26" s="437"/>
      <c r="C26" s="199"/>
      <c r="D26" s="388"/>
      <c r="E26" s="199"/>
      <c r="F26" s="199"/>
      <c r="G26" s="199"/>
      <c r="H26" s="199"/>
      <c r="I26" s="199"/>
      <c r="J26" s="199"/>
      <c r="K26" s="199"/>
      <c r="M26" s="407"/>
      <c r="N26" s="724"/>
      <c r="O26" s="724"/>
      <c r="P26" s="1747"/>
      <c r="Q26" s="1747"/>
      <c r="R26" s="1747"/>
      <c r="S26" s="1747"/>
      <c r="T26" s="408"/>
    </row>
    <row r="27" spans="1:21" ht="20.25" customHeight="1" thickBot="1">
      <c r="A27" s="199"/>
      <c r="B27" s="437"/>
      <c r="C27" s="199"/>
      <c r="D27" s="388"/>
      <c r="E27" s="199"/>
      <c r="F27" s="199"/>
      <c r="G27" s="199"/>
      <c r="H27" s="199"/>
      <c r="I27" s="199"/>
      <c r="J27" s="199"/>
      <c r="K27" s="199"/>
      <c r="M27" s="409"/>
      <c r="N27" s="726"/>
      <c r="O27" s="726"/>
      <c r="P27" s="1750"/>
      <c r="Q27" s="1750"/>
      <c r="R27" s="1750"/>
      <c r="S27" s="726"/>
      <c r="T27" s="411"/>
    </row>
    <row r="28" spans="1:21" ht="12.75" customHeight="1">
      <c r="A28" s="199"/>
      <c r="B28" s="437"/>
      <c r="C28" s="199"/>
      <c r="D28" s="388"/>
      <c r="E28" s="199"/>
      <c r="F28" s="199"/>
      <c r="G28" s="199"/>
      <c r="H28" s="199"/>
      <c r="I28" s="199"/>
      <c r="J28" s="199"/>
      <c r="K28" s="199"/>
    </row>
    <row r="29" spans="1:21" ht="15" customHeight="1">
      <c r="A29" s="199"/>
      <c r="B29" s="437"/>
      <c r="C29" s="199"/>
      <c r="D29" s="388"/>
      <c r="E29" s="199"/>
      <c r="F29" s="199"/>
      <c r="G29" s="199"/>
      <c r="H29" s="199"/>
      <c r="I29" s="199"/>
      <c r="J29" s="199"/>
      <c r="K29" s="199"/>
    </row>
    <row r="30" spans="1:21" ht="15" customHeight="1">
      <c r="A30" s="199"/>
      <c r="B30" s="437"/>
      <c r="C30" s="199"/>
      <c r="D30" s="388"/>
      <c r="E30" s="199"/>
      <c r="F30" s="199"/>
      <c r="G30" s="199"/>
      <c r="H30" s="199"/>
      <c r="I30" s="199"/>
      <c r="J30" s="199"/>
      <c r="K30" s="199"/>
    </row>
    <row r="31" spans="1:21" ht="15" customHeight="1">
      <c r="A31" s="199"/>
      <c r="B31" s="437"/>
      <c r="C31" s="199"/>
      <c r="D31" s="388"/>
      <c r="E31" s="199"/>
      <c r="F31" s="199"/>
      <c r="G31" s="199"/>
      <c r="H31" s="199"/>
      <c r="I31" s="199"/>
      <c r="J31" s="199"/>
      <c r="K31" s="199"/>
    </row>
    <row r="32" spans="1:21" ht="12.75" customHeight="1">
      <c r="A32" s="199"/>
      <c r="B32" s="437"/>
      <c r="C32" s="199"/>
      <c r="D32" s="388"/>
      <c r="E32" s="199"/>
      <c r="F32" s="199"/>
      <c r="G32" s="199"/>
      <c r="H32" s="199"/>
      <c r="I32" s="199"/>
      <c r="J32" s="199"/>
      <c r="K32" s="199"/>
      <c r="N32" s="208"/>
      <c r="O32" s="208"/>
      <c r="P32" s="230"/>
      <c r="Q32" s="1773"/>
      <c r="R32" s="1774"/>
      <c r="S32" s="1774"/>
      <c r="T32" s="208"/>
    </row>
    <row r="33" spans="1:96" ht="21.75" customHeight="1" thickBot="1">
      <c r="A33" s="199"/>
      <c r="B33" s="437"/>
      <c r="C33" s="199"/>
      <c r="D33" s="388"/>
      <c r="E33" s="199"/>
      <c r="F33" s="199"/>
      <c r="G33" s="199"/>
      <c r="H33" s="199"/>
      <c r="I33" s="199"/>
      <c r="J33" s="199"/>
      <c r="K33" s="199"/>
      <c r="N33" s="208"/>
      <c r="O33" s="208"/>
      <c r="P33" s="208"/>
      <c r="Q33" s="208"/>
      <c r="R33" s="208"/>
      <c r="S33" s="208"/>
      <c r="T33" s="208"/>
    </row>
    <row r="34" spans="1:96" ht="37.5" customHeight="1">
      <c r="A34" s="199"/>
      <c r="B34" s="437"/>
      <c r="C34" s="746"/>
      <c r="D34" s="747"/>
      <c r="E34" s="747"/>
      <c r="F34" s="747"/>
      <c r="G34" s="747"/>
      <c r="H34" s="747"/>
      <c r="I34" s="747"/>
      <c r="J34" s="748"/>
      <c r="K34" s="199"/>
      <c r="M34" s="1766" t="s">
        <v>1440</v>
      </c>
      <c r="N34" s="1767"/>
      <c r="O34" s="1767"/>
      <c r="P34" s="1767"/>
      <c r="Q34" s="1767"/>
      <c r="R34" s="1767"/>
      <c r="S34" s="1767"/>
      <c r="T34" s="1768"/>
    </row>
    <row r="35" spans="1:96" s="854" customFormat="1" ht="28.5" customHeight="1">
      <c r="A35" s="853"/>
      <c r="B35" s="437"/>
      <c r="C35" s="1763" t="s">
        <v>936</v>
      </c>
      <c r="D35" s="1764"/>
      <c r="E35" s="1764"/>
      <c r="F35" s="1764"/>
      <c r="G35" s="1764"/>
      <c r="H35" s="1764"/>
      <c r="I35" s="1764"/>
      <c r="J35" s="1765"/>
      <c r="K35" s="413"/>
      <c r="L35" s="852"/>
      <c r="M35" s="1769"/>
      <c r="N35" s="1770"/>
      <c r="O35" s="1770"/>
      <c r="P35" s="1770"/>
      <c r="Q35" s="1770"/>
      <c r="R35" s="1770"/>
      <c r="S35" s="1770"/>
      <c r="T35" s="1771"/>
      <c r="U35" s="852"/>
      <c r="V35" s="852"/>
      <c r="W35" s="852"/>
      <c r="X35" s="852"/>
      <c r="Y35" s="852"/>
      <c r="Z35" s="852"/>
      <c r="AA35" s="852"/>
      <c r="AB35" s="852"/>
      <c r="AC35" s="852"/>
      <c r="AD35" s="852"/>
      <c r="AE35" s="852"/>
      <c r="AF35" s="852"/>
      <c r="AG35" s="852"/>
      <c r="AH35" s="852"/>
      <c r="AI35" s="852"/>
      <c r="AJ35" s="852"/>
      <c r="AK35" s="852"/>
      <c r="AL35" s="852"/>
      <c r="AM35" s="852"/>
      <c r="AN35" s="852"/>
      <c r="AO35" s="852"/>
      <c r="AP35" s="852"/>
      <c r="AQ35" s="852"/>
      <c r="AR35" s="852"/>
      <c r="AS35" s="852"/>
      <c r="AT35" s="852"/>
      <c r="AU35" s="852"/>
      <c r="AV35" s="852"/>
      <c r="AW35" s="852"/>
      <c r="AX35" s="852"/>
      <c r="AY35" s="852"/>
      <c r="AZ35" s="852"/>
      <c r="BA35" s="852"/>
      <c r="BB35" s="852"/>
      <c r="BC35" s="852"/>
      <c r="BD35" s="852"/>
      <c r="BE35" s="852"/>
      <c r="BF35" s="852"/>
      <c r="BG35" s="852"/>
      <c r="BH35" s="852"/>
      <c r="BI35" s="852"/>
      <c r="BJ35" s="852"/>
      <c r="BK35" s="852"/>
      <c r="BL35" s="852"/>
      <c r="BM35" s="852"/>
      <c r="BN35" s="852"/>
      <c r="BO35" s="852"/>
      <c r="BP35" s="852"/>
      <c r="BQ35" s="852"/>
      <c r="BR35" s="852"/>
      <c r="BS35" s="852"/>
      <c r="BT35" s="852"/>
      <c r="BU35" s="852"/>
      <c r="BV35" s="852"/>
      <c r="BW35" s="852"/>
      <c r="BX35" s="852"/>
      <c r="BY35" s="852"/>
      <c r="BZ35" s="852"/>
      <c r="CA35" s="852"/>
      <c r="CB35" s="852"/>
      <c r="CC35" s="852"/>
      <c r="CD35" s="852"/>
      <c r="CE35" s="852"/>
      <c r="CF35" s="852"/>
      <c r="CG35" s="852"/>
      <c r="CH35" s="852"/>
      <c r="CI35" s="852"/>
      <c r="CJ35" s="852"/>
      <c r="CK35" s="852"/>
      <c r="CL35" s="852"/>
      <c r="CM35" s="852"/>
      <c r="CN35" s="852"/>
      <c r="CO35" s="852"/>
      <c r="CP35" s="852"/>
      <c r="CQ35" s="852"/>
      <c r="CR35" s="852"/>
    </row>
    <row r="36" spans="1:96" s="856" customFormat="1" ht="23.25" customHeight="1">
      <c r="A36" s="853"/>
      <c r="B36" s="390"/>
      <c r="C36" s="1758" t="s">
        <v>937</v>
      </c>
      <c r="D36" s="1759"/>
      <c r="E36" s="1759"/>
      <c r="F36" s="1759"/>
      <c r="G36" s="1759"/>
      <c r="H36" s="1759"/>
      <c r="I36" s="1759"/>
      <c r="J36" s="1760"/>
      <c r="K36" s="414"/>
      <c r="L36" s="855"/>
      <c r="M36" s="1769"/>
      <c r="N36" s="1770"/>
      <c r="O36" s="1770"/>
      <c r="P36" s="1770"/>
      <c r="Q36" s="1770"/>
      <c r="R36" s="1770"/>
      <c r="S36" s="1770"/>
      <c r="T36" s="1771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 s="855"/>
      <c r="AH36" s="855"/>
      <c r="AI36" s="855"/>
      <c r="AJ36" s="855"/>
      <c r="AK36" s="855"/>
      <c r="AL36" s="855"/>
      <c r="AM36" s="855"/>
      <c r="AN36" s="855"/>
      <c r="AO36" s="855"/>
      <c r="AP36" s="855"/>
      <c r="AQ36" s="855"/>
      <c r="AR36" s="855"/>
      <c r="AS36" s="855"/>
      <c r="AT36" s="855"/>
      <c r="AU36" s="855"/>
      <c r="AV36" s="855"/>
      <c r="AW36" s="855"/>
      <c r="AX36" s="855"/>
      <c r="AY36" s="855"/>
      <c r="AZ36" s="855"/>
      <c r="BA36" s="855"/>
      <c r="BB36" s="855"/>
      <c r="BC36" s="855"/>
      <c r="BD36" s="855"/>
      <c r="BE36" s="855"/>
      <c r="BF36" s="855"/>
      <c r="BG36" s="855"/>
      <c r="BH36" s="855"/>
      <c r="BI36" s="855"/>
      <c r="BJ36" s="855"/>
      <c r="BK36" s="855"/>
      <c r="BL36" s="855"/>
      <c r="BM36" s="855"/>
      <c r="BN36" s="855"/>
      <c r="BO36" s="855"/>
      <c r="BP36" s="855"/>
      <c r="BQ36" s="855"/>
      <c r="BR36" s="855"/>
      <c r="BS36" s="855"/>
      <c r="BT36" s="855"/>
      <c r="BU36" s="855"/>
      <c r="BV36" s="855"/>
      <c r="BW36" s="855"/>
      <c r="BX36" s="855"/>
      <c r="BY36" s="855"/>
      <c r="BZ36" s="855"/>
      <c r="CA36" s="855"/>
      <c r="CB36" s="855"/>
      <c r="CC36" s="855"/>
      <c r="CD36" s="855"/>
      <c r="CE36" s="855"/>
      <c r="CF36" s="855"/>
      <c r="CG36" s="855"/>
      <c r="CH36" s="855"/>
      <c r="CI36" s="855"/>
      <c r="CJ36" s="855"/>
      <c r="CK36" s="855"/>
      <c r="CL36" s="855"/>
      <c r="CM36" s="855"/>
      <c r="CN36" s="855"/>
      <c r="CO36" s="855"/>
      <c r="CP36" s="855"/>
      <c r="CQ36" s="855"/>
      <c r="CR36" s="855"/>
    </row>
    <row r="37" spans="1:96" s="856" customFormat="1" ht="24.75" customHeight="1">
      <c r="A37" s="853"/>
      <c r="B37" s="390"/>
      <c r="C37" s="1778" t="s">
        <v>2649</v>
      </c>
      <c r="D37" s="1779"/>
      <c r="E37" s="1779"/>
      <c r="F37" s="1779"/>
      <c r="G37" s="1779"/>
      <c r="H37" s="1779"/>
      <c r="I37" s="1779"/>
      <c r="J37" s="1780"/>
      <c r="K37" s="415"/>
      <c r="L37" s="855"/>
      <c r="M37" s="1769"/>
      <c r="N37" s="1770"/>
      <c r="O37" s="1770"/>
      <c r="P37" s="1770"/>
      <c r="Q37" s="1770"/>
      <c r="R37" s="1770"/>
      <c r="S37" s="1770"/>
      <c r="T37" s="1771"/>
      <c r="U37" s="855"/>
      <c r="V37" s="855"/>
      <c r="W37" s="855"/>
      <c r="X37" s="855"/>
      <c r="Y37" s="855"/>
      <c r="Z37" s="855"/>
      <c r="AA37" s="855"/>
      <c r="AB37" s="855"/>
      <c r="AC37" s="855"/>
      <c r="AD37" s="855"/>
      <c r="AE37" s="855"/>
      <c r="AF37" s="855"/>
      <c r="AG37" s="855"/>
      <c r="AH37" s="855"/>
      <c r="AI37" s="855"/>
      <c r="AJ37" s="855"/>
      <c r="AK37" s="855"/>
      <c r="AL37" s="855"/>
      <c r="AM37" s="855"/>
      <c r="AN37" s="855"/>
      <c r="AO37" s="855"/>
      <c r="AP37" s="855"/>
      <c r="AQ37" s="855"/>
      <c r="AR37" s="855"/>
      <c r="AS37" s="855"/>
      <c r="AT37" s="855"/>
      <c r="AU37" s="855"/>
      <c r="AV37" s="855"/>
      <c r="AW37" s="855"/>
      <c r="AX37" s="855"/>
      <c r="AY37" s="855"/>
      <c r="AZ37" s="855"/>
      <c r="BA37" s="855"/>
      <c r="BB37" s="855"/>
      <c r="BC37" s="855"/>
      <c r="BD37" s="855"/>
      <c r="BE37" s="855"/>
      <c r="BF37" s="855"/>
      <c r="BG37" s="855"/>
      <c r="BH37" s="855"/>
      <c r="BI37" s="855"/>
      <c r="BJ37" s="855"/>
      <c r="BK37" s="855"/>
      <c r="BL37" s="855"/>
      <c r="BM37" s="855"/>
      <c r="BN37" s="855"/>
      <c r="BO37" s="855"/>
      <c r="BP37" s="855"/>
      <c r="BQ37" s="855"/>
      <c r="BR37" s="855"/>
      <c r="BS37" s="855"/>
      <c r="BT37" s="855"/>
      <c r="BU37" s="855"/>
      <c r="BV37" s="855"/>
      <c r="BW37" s="855"/>
      <c r="BX37" s="855"/>
      <c r="BY37" s="855"/>
      <c r="BZ37" s="855"/>
      <c r="CA37" s="855"/>
      <c r="CB37" s="855"/>
      <c r="CC37" s="855"/>
      <c r="CD37" s="855"/>
      <c r="CE37" s="855"/>
      <c r="CF37" s="855"/>
      <c r="CG37" s="855"/>
      <c r="CH37" s="855"/>
      <c r="CI37" s="855"/>
      <c r="CJ37" s="855"/>
      <c r="CK37" s="855"/>
      <c r="CL37" s="855"/>
      <c r="CM37" s="855"/>
      <c r="CN37" s="855"/>
      <c r="CO37" s="855"/>
      <c r="CP37" s="855"/>
      <c r="CQ37" s="855"/>
      <c r="CR37" s="855"/>
    </row>
    <row r="38" spans="1:96" s="210" customFormat="1" ht="24" customHeight="1">
      <c r="A38" s="199"/>
      <c r="B38" s="387"/>
      <c r="C38" s="737"/>
      <c r="D38" s="738"/>
      <c r="E38" s="738"/>
      <c r="F38" s="738"/>
      <c r="G38" s="738"/>
      <c r="H38" s="738"/>
      <c r="I38" s="738"/>
      <c r="J38" s="739"/>
      <c r="K38" s="403"/>
      <c r="L38" s="208"/>
      <c r="M38" s="727"/>
      <c r="N38" s="728"/>
      <c r="O38" s="1753" t="s">
        <v>2582</v>
      </c>
      <c r="P38" s="1753"/>
      <c r="Q38" s="1753"/>
      <c r="R38" s="1753"/>
      <c r="S38" s="1753"/>
      <c r="T38" s="1635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</row>
    <row r="39" spans="1:96" s="207" customFormat="1" ht="20.25" customHeight="1">
      <c r="B39" s="857"/>
      <c r="C39" s="740"/>
      <c r="D39" s="741"/>
      <c r="E39" s="741"/>
      <c r="F39" s="741"/>
      <c r="G39" s="741"/>
      <c r="H39" s="741"/>
      <c r="I39" s="741"/>
      <c r="J39" s="742"/>
      <c r="K39" s="412"/>
      <c r="M39" s="729"/>
      <c r="N39" s="730"/>
      <c r="O39" s="1746" t="s">
        <v>2439</v>
      </c>
      <c r="P39" s="1746"/>
      <c r="Q39" s="1746"/>
      <c r="R39" s="1746"/>
      <c r="S39" s="928"/>
      <c r="T39" s="929"/>
    </row>
    <row r="40" spans="1:96" s="207" customFormat="1" ht="19.5" customHeight="1">
      <c r="B40" s="857"/>
      <c r="C40" s="740"/>
      <c r="D40" s="741"/>
      <c r="E40" s="741"/>
      <c r="F40" s="741"/>
      <c r="G40" s="741"/>
      <c r="H40" s="741"/>
      <c r="I40" s="741"/>
      <c r="J40" s="742"/>
      <c r="K40" s="412"/>
      <c r="M40" s="729"/>
      <c r="N40" s="730"/>
      <c r="O40" s="1746" t="s">
        <v>866</v>
      </c>
      <c r="P40" s="1746"/>
      <c r="Q40" s="1746"/>
      <c r="R40" s="1433"/>
      <c r="S40" s="930"/>
      <c r="T40" s="931"/>
    </row>
    <row r="41" spans="1:96" s="207" customFormat="1" ht="17.25" customHeight="1">
      <c r="B41" s="857"/>
      <c r="C41" s="740"/>
      <c r="D41" s="741"/>
      <c r="E41" s="741"/>
      <c r="F41" s="741"/>
      <c r="G41" s="741"/>
      <c r="H41" s="741"/>
      <c r="I41" s="741"/>
      <c r="J41" s="742"/>
      <c r="K41" s="412"/>
      <c r="M41" s="729"/>
      <c r="N41" s="725"/>
      <c r="O41" s="1746" t="s">
        <v>867</v>
      </c>
      <c r="P41" s="1746"/>
      <c r="Q41" s="1746"/>
      <c r="R41" s="1433"/>
      <c r="S41" s="920"/>
      <c r="T41" s="931"/>
    </row>
    <row r="42" spans="1:96" s="207" customFormat="1" ht="17.25" customHeight="1">
      <c r="B42" s="857"/>
      <c r="C42" s="740"/>
      <c r="D42" s="741"/>
      <c r="E42" s="741"/>
      <c r="F42" s="741"/>
      <c r="G42" s="741"/>
      <c r="H42" s="741"/>
      <c r="I42" s="741"/>
      <c r="J42" s="742"/>
      <c r="K42" s="412"/>
      <c r="M42" s="732"/>
      <c r="N42" s="725"/>
      <c r="O42" s="1746" t="s">
        <v>1441</v>
      </c>
      <c r="P42" s="1746"/>
      <c r="Q42" s="1746"/>
      <c r="R42" s="1433"/>
      <c r="S42" s="920"/>
      <c r="T42" s="931"/>
    </row>
    <row r="43" spans="1:96" s="207" customFormat="1" ht="24.75" customHeight="1">
      <c r="B43" s="857"/>
      <c r="C43" s="740"/>
      <c r="D43" s="741"/>
      <c r="E43" s="741"/>
      <c r="F43" s="741"/>
      <c r="G43" s="741"/>
      <c r="H43" s="741"/>
      <c r="I43" s="741"/>
      <c r="J43" s="742"/>
      <c r="K43" s="412"/>
      <c r="M43" s="732"/>
      <c r="N43" s="725"/>
      <c r="O43" s="1752" t="s">
        <v>1722</v>
      </c>
      <c r="P43" s="1752"/>
      <c r="Q43" s="1752"/>
      <c r="R43" s="1752"/>
      <c r="S43" s="1752"/>
      <c r="T43" s="731"/>
    </row>
    <row r="44" spans="1:96" s="207" customFormat="1" ht="15.75" customHeight="1">
      <c r="B44" s="857"/>
      <c r="C44" s="749"/>
      <c r="D44" s="750"/>
      <c r="E44" s="750"/>
      <c r="F44" s="750"/>
      <c r="G44" s="750"/>
      <c r="H44" s="750"/>
      <c r="I44" s="750"/>
      <c r="J44" s="751"/>
      <c r="K44" s="412"/>
      <c r="M44" s="732"/>
      <c r="N44" s="725"/>
      <c r="O44" s="1746" t="s">
        <v>1671</v>
      </c>
      <c r="P44" s="1746"/>
      <c r="Q44" s="1746"/>
      <c r="R44" s="725"/>
      <c r="S44" s="725"/>
      <c r="T44" s="731"/>
    </row>
    <row r="45" spans="1:96" s="207" customFormat="1" ht="18" customHeight="1">
      <c r="B45" s="857"/>
      <c r="C45" s="1755" t="s">
        <v>2106</v>
      </c>
      <c r="D45" s="1756"/>
      <c r="E45" s="1756"/>
      <c r="F45" s="1756"/>
      <c r="G45" s="1756"/>
      <c r="H45" s="1756"/>
      <c r="I45" s="1756"/>
      <c r="J45" s="1757"/>
      <c r="K45" s="416"/>
      <c r="M45" s="732"/>
      <c r="N45" s="725"/>
      <c r="O45" s="1746" t="s">
        <v>866</v>
      </c>
      <c r="P45" s="1746"/>
      <c r="Q45" s="1746"/>
      <c r="R45" s="733"/>
      <c r="S45" s="725"/>
      <c r="T45" s="731"/>
    </row>
    <row r="46" spans="1:96" s="207" customFormat="1" ht="18.75" customHeight="1">
      <c r="B46" s="857"/>
      <c r="C46" s="1755" t="s">
        <v>935</v>
      </c>
      <c r="D46" s="1756"/>
      <c r="E46" s="1756"/>
      <c r="F46" s="1756"/>
      <c r="G46" s="1756"/>
      <c r="H46" s="1756"/>
      <c r="I46" s="1756"/>
      <c r="J46" s="1757"/>
      <c r="K46" s="416"/>
      <c r="M46" s="729"/>
      <c r="N46" s="730"/>
      <c r="O46" s="1746" t="s">
        <v>867</v>
      </c>
      <c r="P46" s="1746"/>
      <c r="Q46" s="1746"/>
      <c r="R46" s="730"/>
      <c r="S46" s="730"/>
      <c r="T46" s="731"/>
    </row>
    <row r="47" spans="1:96" s="207" customFormat="1" ht="14.25" customHeight="1">
      <c r="B47" s="857"/>
      <c r="C47" s="752"/>
      <c r="D47" s="753"/>
      <c r="E47" s="753"/>
      <c r="F47" s="753"/>
      <c r="G47" s="753"/>
      <c r="H47" s="753"/>
      <c r="I47" s="753"/>
      <c r="J47" s="754"/>
      <c r="K47" s="208"/>
      <c r="M47" s="729"/>
      <c r="N47" s="730"/>
      <c r="O47" s="1746" t="s">
        <v>1672</v>
      </c>
      <c r="P47" s="1746"/>
      <c r="Q47" s="1746"/>
      <c r="R47" s="730"/>
      <c r="S47" s="730"/>
      <c r="T47" s="731"/>
    </row>
    <row r="48" spans="1:96" s="207" customFormat="1" ht="14.25" customHeight="1">
      <c r="B48" s="857"/>
      <c r="C48" s="752"/>
      <c r="D48" s="753"/>
      <c r="E48" s="753"/>
      <c r="F48" s="753"/>
      <c r="G48" s="753"/>
      <c r="H48" s="753"/>
      <c r="I48" s="753"/>
      <c r="J48" s="754"/>
      <c r="K48" s="208"/>
      <c r="M48" s="729"/>
      <c r="N48" s="730"/>
      <c r="O48" s="932"/>
      <c r="P48" s="932"/>
      <c r="Q48" s="932"/>
      <c r="R48" s="730"/>
      <c r="S48" s="730"/>
      <c r="T48" s="731"/>
    </row>
    <row r="49" spans="2:20" s="207" customFormat="1" ht="20.25" customHeight="1">
      <c r="B49" s="857"/>
      <c r="C49" s="752"/>
      <c r="D49" s="753"/>
      <c r="E49" s="753"/>
      <c r="F49" s="753"/>
      <c r="G49" s="753"/>
      <c r="H49" s="753"/>
      <c r="I49" s="753"/>
      <c r="J49" s="754"/>
      <c r="K49" s="208"/>
      <c r="M49" s="729"/>
      <c r="N49" s="730"/>
      <c r="O49" s="1753" t="s">
        <v>1752</v>
      </c>
      <c r="P49" s="1753"/>
      <c r="Q49" s="1753"/>
      <c r="R49" s="1753"/>
      <c r="S49" s="1753"/>
      <c r="T49" s="1635"/>
    </row>
    <row r="50" spans="2:20" s="207" customFormat="1" ht="19.5" customHeight="1">
      <c r="B50" s="857"/>
      <c r="C50" s="752"/>
      <c r="D50" s="753"/>
      <c r="E50" s="753"/>
      <c r="F50" s="753"/>
      <c r="G50" s="753"/>
      <c r="H50" s="753"/>
      <c r="I50" s="753"/>
      <c r="J50" s="754"/>
      <c r="K50" s="208"/>
      <c r="M50" s="729"/>
      <c r="N50" s="730"/>
      <c r="O50" s="1754" t="s">
        <v>2093</v>
      </c>
      <c r="P50" s="1754"/>
      <c r="Q50" s="1754"/>
      <c r="R50" s="730"/>
      <c r="S50" s="730"/>
      <c r="T50" s="731"/>
    </row>
    <row r="51" spans="2:20" s="207" customFormat="1" ht="15.75" customHeight="1">
      <c r="B51" s="857"/>
      <c r="C51" s="752"/>
      <c r="D51" s="753"/>
      <c r="E51" s="753"/>
      <c r="F51" s="753"/>
      <c r="G51" s="753"/>
      <c r="H51" s="753"/>
      <c r="I51" s="753"/>
      <c r="J51" s="754"/>
      <c r="K51" s="208"/>
      <c r="M51" s="729"/>
      <c r="N51" s="730"/>
      <c r="O51" s="1754" t="s">
        <v>866</v>
      </c>
      <c r="P51" s="1754"/>
      <c r="Q51" s="1754"/>
      <c r="R51" s="730"/>
      <c r="S51" s="730"/>
      <c r="T51" s="731"/>
    </row>
    <row r="52" spans="2:20" s="207" customFormat="1" ht="14.25" customHeight="1">
      <c r="B52" s="857"/>
      <c r="C52" s="752"/>
      <c r="D52" s="753"/>
      <c r="E52" s="753"/>
      <c r="F52" s="753"/>
      <c r="G52" s="753"/>
      <c r="H52" s="753"/>
      <c r="I52" s="753"/>
      <c r="J52" s="754"/>
      <c r="K52" s="208"/>
      <c r="M52" s="729"/>
      <c r="N52" s="730"/>
      <c r="O52" s="1754" t="s">
        <v>867</v>
      </c>
      <c r="P52" s="1754"/>
      <c r="Q52" s="1754"/>
      <c r="R52" s="730"/>
      <c r="S52" s="730"/>
      <c r="T52" s="731"/>
    </row>
    <row r="53" spans="2:20" s="207" customFormat="1" ht="14.25" customHeight="1">
      <c r="B53" s="857"/>
      <c r="C53" s="752"/>
      <c r="D53" s="753"/>
      <c r="E53" s="753"/>
      <c r="F53" s="753"/>
      <c r="G53" s="753"/>
      <c r="H53" s="753"/>
      <c r="I53" s="753"/>
      <c r="J53" s="754"/>
      <c r="K53" s="208"/>
      <c r="M53" s="729"/>
      <c r="N53" s="730"/>
      <c r="O53" s="1746" t="s">
        <v>1672</v>
      </c>
      <c r="P53" s="1746"/>
      <c r="Q53" s="1746"/>
      <c r="R53" s="730"/>
      <c r="S53" s="730"/>
      <c r="T53" s="731"/>
    </row>
    <row r="54" spans="2:20" s="207" customFormat="1" ht="14.25" customHeight="1">
      <c r="B54" s="857"/>
      <c r="C54" s="752"/>
      <c r="D54" s="753"/>
      <c r="E54" s="753"/>
      <c r="F54" s="753"/>
      <c r="G54" s="753"/>
      <c r="H54" s="753"/>
      <c r="I54" s="753"/>
      <c r="J54" s="754"/>
      <c r="K54" s="208"/>
      <c r="M54" s="729"/>
      <c r="N54" s="730"/>
      <c r="O54" s="1055"/>
      <c r="P54" s="1055"/>
      <c r="Q54" s="1055"/>
      <c r="R54" s="730"/>
      <c r="S54" s="730"/>
      <c r="T54" s="731"/>
    </row>
    <row r="55" spans="2:20" s="207" customFormat="1" ht="16.5" customHeight="1">
      <c r="B55" s="857"/>
      <c r="C55" s="752"/>
      <c r="D55" s="753"/>
      <c r="E55" s="753"/>
      <c r="F55" s="753"/>
      <c r="G55" s="753"/>
      <c r="H55" s="753"/>
      <c r="I55" s="753"/>
      <c r="J55" s="754"/>
      <c r="K55" s="208"/>
      <c r="M55" s="729"/>
      <c r="N55" s="730"/>
      <c r="O55" s="1057"/>
      <c r="P55" s="1057"/>
      <c r="Q55" s="1057"/>
      <c r="R55" s="1057"/>
      <c r="S55" s="1057"/>
      <c r="T55" s="731"/>
    </row>
    <row r="56" spans="2:20" s="207" customFormat="1" ht="24" customHeight="1" thickBot="1">
      <c r="B56" s="857"/>
      <c r="C56" s="409"/>
      <c r="D56" s="410"/>
      <c r="E56" s="410"/>
      <c r="F56" s="410"/>
      <c r="G56" s="410"/>
      <c r="H56" s="410"/>
      <c r="I56" s="410"/>
      <c r="J56" s="411"/>
      <c r="K56" s="208"/>
      <c r="M56" s="734"/>
      <c r="N56" s="735"/>
      <c r="O56" s="1058"/>
      <c r="P56" s="1058"/>
      <c r="Q56" s="1058"/>
      <c r="R56" s="1058"/>
      <c r="S56" s="1058"/>
      <c r="T56" s="736"/>
    </row>
    <row r="57" spans="2:20" s="207" customFormat="1">
      <c r="B57" s="857"/>
      <c r="C57" s="208"/>
      <c r="D57" s="208"/>
      <c r="E57" s="208"/>
      <c r="F57" s="208"/>
      <c r="G57" s="208"/>
      <c r="H57" s="208"/>
      <c r="I57" s="208"/>
      <c r="J57" s="208"/>
      <c r="K57" s="208"/>
    </row>
    <row r="58" spans="2:20" s="207" customFormat="1">
      <c r="B58" s="857"/>
    </row>
    <row r="59" spans="2:20" s="207" customFormat="1">
      <c r="B59" s="857"/>
    </row>
    <row r="60" spans="2:20" s="207" customFormat="1">
      <c r="B60" s="857"/>
    </row>
    <row r="61" spans="2:20" s="207" customFormat="1">
      <c r="B61" s="857"/>
    </row>
    <row r="62" spans="2:20" s="207" customFormat="1">
      <c r="B62" s="857"/>
    </row>
    <row r="63" spans="2:20" s="207" customFormat="1">
      <c r="B63" s="857"/>
    </row>
    <row r="64" spans="2:20" s="207" customFormat="1">
      <c r="B64" s="857"/>
    </row>
    <row r="65" spans="2:2" s="207" customFormat="1">
      <c r="B65" s="857"/>
    </row>
    <row r="66" spans="2:2" s="207" customFormat="1">
      <c r="B66" s="857"/>
    </row>
    <row r="67" spans="2:2" s="207" customFormat="1">
      <c r="B67" s="857"/>
    </row>
    <row r="68" spans="2:2" s="207" customFormat="1">
      <c r="B68" s="857"/>
    </row>
    <row r="69" spans="2:2" s="207" customFormat="1">
      <c r="B69" s="857"/>
    </row>
    <row r="70" spans="2:2" s="207" customFormat="1">
      <c r="B70" s="857"/>
    </row>
    <row r="71" spans="2:2" s="207" customFormat="1">
      <c r="B71" s="857"/>
    </row>
    <row r="72" spans="2:2" s="207" customFormat="1">
      <c r="B72" s="857"/>
    </row>
    <row r="73" spans="2:2" s="207" customFormat="1">
      <c r="B73" s="857"/>
    </row>
    <row r="74" spans="2:2" s="207" customFormat="1">
      <c r="B74" s="857"/>
    </row>
    <row r="75" spans="2:2" s="207" customFormat="1">
      <c r="B75" s="857"/>
    </row>
    <row r="76" spans="2:2" s="207" customFormat="1">
      <c r="B76" s="857"/>
    </row>
    <row r="77" spans="2:2" s="207" customFormat="1">
      <c r="B77" s="857"/>
    </row>
    <row r="78" spans="2:2" s="207" customFormat="1">
      <c r="B78" s="857"/>
    </row>
    <row r="79" spans="2:2" s="207" customFormat="1">
      <c r="B79" s="857"/>
    </row>
    <row r="80" spans="2:2" s="207" customFormat="1">
      <c r="B80" s="857"/>
    </row>
    <row r="81" spans="2:2" s="207" customFormat="1">
      <c r="B81" s="857"/>
    </row>
    <row r="82" spans="2:2" s="207" customFormat="1">
      <c r="B82" s="857"/>
    </row>
    <row r="83" spans="2:2" s="207" customFormat="1">
      <c r="B83" s="857"/>
    </row>
    <row r="84" spans="2:2" s="207" customFormat="1">
      <c r="B84" s="857"/>
    </row>
    <row r="85" spans="2:2" s="207" customFormat="1">
      <c r="B85" s="857"/>
    </row>
    <row r="86" spans="2:2" s="207" customFormat="1">
      <c r="B86" s="857"/>
    </row>
    <row r="87" spans="2:2" s="207" customFormat="1">
      <c r="B87" s="857"/>
    </row>
    <row r="88" spans="2:2" s="207" customFormat="1">
      <c r="B88" s="857"/>
    </row>
    <row r="89" spans="2:2" s="207" customFormat="1">
      <c r="B89" s="857"/>
    </row>
    <row r="90" spans="2:2" s="207" customFormat="1">
      <c r="B90" s="857"/>
    </row>
    <row r="91" spans="2:2" s="207" customFormat="1">
      <c r="B91" s="857"/>
    </row>
    <row r="92" spans="2:2" s="207" customFormat="1">
      <c r="B92" s="857"/>
    </row>
    <row r="93" spans="2:2" s="207" customFormat="1">
      <c r="B93" s="857"/>
    </row>
    <row r="94" spans="2:2" s="207" customFormat="1">
      <c r="B94" s="857"/>
    </row>
    <row r="95" spans="2:2" s="207" customFormat="1">
      <c r="B95" s="857"/>
    </row>
    <row r="96" spans="2:2" s="207" customFormat="1">
      <c r="B96" s="857"/>
    </row>
    <row r="97" spans="2:2" s="207" customFormat="1">
      <c r="B97" s="857"/>
    </row>
    <row r="98" spans="2:2" s="207" customFormat="1">
      <c r="B98" s="857"/>
    </row>
    <row r="99" spans="2:2" s="207" customFormat="1">
      <c r="B99" s="857"/>
    </row>
    <row r="100" spans="2:2" s="207" customFormat="1">
      <c r="B100" s="857"/>
    </row>
    <row r="101" spans="2:2" s="207" customFormat="1">
      <c r="B101" s="857"/>
    </row>
    <row r="102" spans="2:2" s="207" customFormat="1">
      <c r="B102" s="857"/>
    </row>
    <row r="103" spans="2:2" s="207" customFormat="1">
      <c r="B103" s="857"/>
    </row>
    <row r="104" spans="2:2" s="207" customFormat="1">
      <c r="B104" s="857"/>
    </row>
    <row r="105" spans="2:2" s="207" customFormat="1">
      <c r="B105" s="857"/>
    </row>
    <row r="106" spans="2:2" s="207" customFormat="1">
      <c r="B106" s="857"/>
    </row>
    <row r="107" spans="2:2" s="207" customFormat="1">
      <c r="B107" s="857"/>
    </row>
    <row r="108" spans="2:2" s="207" customFormat="1">
      <c r="B108" s="857"/>
    </row>
    <row r="109" spans="2:2" s="207" customFormat="1">
      <c r="B109" s="857"/>
    </row>
    <row r="110" spans="2:2" s="207" customFormat="1">
      <c r="B110" s="857"/>
    </row>
    <row r="111" spans="2:2" s="207" customFormat="1">
      <c r="B111" s="857"/>
    </row>
    <row r="112" spans="2:2" s="207" customFormat="1">
      <c r="B112" s="857"/>
    </row>
    <row r="113" spans="2:2" s="207" customFormat="1">
      <c r="B113" s="857"/>
    </row>
    <row r="114" spans="2:2" s="207" customFormat="1">
      <c r="B114" s="857"/>
    </row>
    <row r="115" spans="2:2" s="207" customFormat="1">
      <c r="B115" s="857"/>
    </row>
    <row r="116" spans="2:2" s="207" customFormat="1">
      <c r="B116" s="857"/>
    </row>
    <row r="117" spans="2:2" s="207" customFormat="1">
      <c r="B117" s="857"/>
    </row>
    <row r="118" spans="2:2" s="207" customFormat="1">
      <c r="B118" s="857"/>
    </row>
    <row r="119" spans="2:2" s="207" customFormat="1">
      <c r="B119" s="857"/>
    </row>
    <row r="120" spans="2:2" s="207" customFormat="1">
      <c r="B120" s="857"/>
    </row>
    <row r="121" spans="2:2" s="207" customFormat="1">
      <c r="B121" s="857"/>
    </row>
    <row r="122" spans="2:2" s="207" customFormat="1">
      <c r="B122" s="857"/>
    </row>
    <row r="123" spans="2:2" s="207" customFormat="1">
      <c r="B123" s="857"/>
    </row>
    <row r="124" spans="2:2" s="207" customFormat="1">
      <c r="B124" s="857"/>
    </row>
    <row r="125" spans="2:2" s="207" customFormat="1">
      <c r="B125" s="857"/>
    </row>
    <row r="126" spans="2:2" s="207" customFormat="1">
      <c r="B126" s="857"/>
    </row>
    <row r="127" spans="2:2" s="207" customFormat="1">
      <c r="B127" s="857"/>
    </row>
    <row r="128" spans="2:2" s="207" customFormat="1">
      <c r="B128" s="857"/>
    </row>
    <row r="129" spans="2:2" s="207" customFormat="1">
      <c r="B129" s="857"/>
    </row>
    <row r="130" spans="2:2" s="207" customFormat="1">
      <c r="B130" s="857"/>
    </row>
    <row r="131" spans="2:2" s="207" customFormat="1">
      <c r="B131" s="857"/>
    </row>
    <row r="132" spans="2:2" s="207" customFormat="1">
      <c r="B132" s="857"/>
    </row>
    <row r="133" spans="2:2" s="207" customFormat="1">
      <c r="B133" s="857"/>
    </row>
    <row r="134" spans="2:2" s="207" customFormat="1">
      <c r="B134" s="857"/>
    </row>
    <row r="135" spans="2:2" s="207" customFormat="1">
      <c r="B135" s="857"/>
    </row>
    <row r="136" spans="2:2" s="207" customFormat="1">
      <c r="B136" s="857"/>
    </row>
    <row r="137" spans="2:2" s="207" customFormat="1">
      <c r="B137" s="857"/>
    </row>
    <row r="138" spans="2:2" s="207" customFormat="1">
      <c r="B138" s="857"/>
    </row>
    <row r="139" spans="2:2" s="207" customFormat="1">
      <c r="B139" s="857"/>
    </row>
    <row r="140" spans="2:2" s="207" customFormat="1">
      <c r="B140" s="857"/>
    </row>
    <row r="141" spans="2:2" s="207" customFormat="1">
      <c r="B141" s="857"/>
    </row>
    <row r="142" spans="2:2" s="207" customFormat="1">
      <c r="B142" s="857"/>
    </row>
    <row r="143" spans="2:2" s="207" customFormat="1">
      <c r="B143" s="857"/>
    </row>
    <row r="144" spans="2:2" s="207" customFormat="1">
      <c r="B144" s="857"/>
    </row>
    <row r="145" spans="2:2" s="207" customFormat="1">
      <c r="B145" s="857"/>
    </row>
    <row r="146" spans="2:2" s="207" customFormat="1">
      <c r="B146" s="857"/>
    </row>
    <row r="147" spans="2:2" s="207" customFormat="1">
      <c r="B147" s="857"/>
    </row>
    <row r="148" spans="2:2" s="207" customFormat="1">
      <c r="B148" s="857"/>
    </row>
    <row r="149" spans="2:2" s="207" customFormat="1">
      <c r="B149" s="857"/>
    </row>
    <row r="150" spans="2:2" s="207" customFormat="1">
      <c r="B150" s="857"/>
    </row>
    <row r="151" spans="2:2" s="207" customFormat="1">
      <c r="B151" s="857"/>
    </row>
    <row r="152" spans="2:2" s="207" customFormat="1">
      <c r="B152" s="857"/>
    </row>
    <row r="153" spans="2:2" s="207" customFormat="1">
      <c r="B153" s="857"/>
    </row>
    <row r="154" spans="2:2" s="207" customFormat="1">
      <c r="B154" s="857"/>
    </row>
    <row r="155" spans="2:2" s="207" customFormat="1">
      <c r="B155" s="857"/>
    </row>
    <row r="156" spans="2:2" s="207" customFormat="1">
      <c r="B156" s="857"/>
    </row>
    <row r="157" spans="2:2" s="207" customFormat="1">
      <c r="B157" s="857"/>
    </row>
    <row r="158" spans="2:2" s="207" customFormat="1">
      <c r="B158" s="857"/>
    </row>
    <row r="159" spans="2:2" s="207" customFormat="1">
      <c r="B159" s="857"/>
    </row>
    <row r="160" spans="2:2" s="207" customFormat="1">
      <c r="B160" s="857"/>
    </row>
    <row r="161" spans="2:2" s="207" customFormat="1">
      <c r="B161" s="857"/>
    </row>
    <row r="162" spans="2:2" s="207" customFormat="1">
      <c r="B162" s="857"/>
    </row>
    <row r="163" spans="2:2" s="207" customFormat="1">
      <c r="B163" s="857"/>
    </row>
    <row r="164" spans="2:2" s="207" customFormat="1">
      <c r="B164" s="857"/>
    </row>
    <row r="165" spans="2:2" s="207" customFormat="1">
      <c r="B165" s="857"/>
    </row>
    <row r="166" spans="2:2" s="207" customFormat="1">
      <c r="B166" s="857"/>
    </row>
    <row r="167" spans="2:2" s="207" customFormat="1">
      <c r="B167" s="857"/>
    </row>
    <row r="168" spans="2:2" s="207" customFormat="1">
      <c r="B168" s="857"/>
    </row>
    <row r="169" spans="2:2" s="207" customFormat="1">
      <c r="B169" s="857"/>
    </row>
    <row r="170" spans="2:2" s="207" customFormat="1">
      <c r="B170" s="857"/>
    </row>
    <row r="171" spans="2:2" s="207" customFormat="1">
      <c r="B171" s="857"/>
    </row>
    <row r="172" spans="2:2" s="207" customFormat="1">
      <c r="B172" s="857"/>
    </row>
    <row r="173" spans="2:2" s="207" customFormat="1">
      <c r="B173" s="857"/>
    </row>
    <row r="174" spans="2:2" s="207" customFormat="1">
      <c r="B174" s="857"/>
    </row>
    <row r="175" spans="2:2" s="207" customFormat="1">
      <c r="B175" s="857"/>
    </row>
    <row r="176" spans="2:2" s="207" customFormat="1">
      <c r="B176" s="857"/>
    </row>
    <row r="177" spans="2:2" s="207" customFormat="1">
      <c r="B177" s="857"/>
    </row>
    <row r="178" spans="2:2" s="207" customFormat="1">
      <c r="B178" s="857"/>
    </row>
    <row r="179" spans="2:2" s="207" customFormat="1">
      <c r="B179" s="857"/>
    </row>
    <row r="180" spans="2:2" s="207" customFormat="1">
      <c r="B180" s="857"/>
    </row>
    <row r="181" spans="2:2" s="207" customFormat="1">
      <c r="B181" s="857"/>
    </row>
    <row r="182" spans="2:2" s="207" customFormat="1">
      <c r="B182" s="857"/>
    </row>
    <row r="183" spans="2:2" s="207" customFormat="1">
      <c r="B183" s="857"/>
    </row>
    <row r="184" spans="2:2" s="207" customFormat="1">
      <c r="B184" s="857"/>
    </row>
    <row r="185" spans="2:2" s="207" customFormat="1">
      <c r="B185" s="857"/>
    </row>
    <row r="186" spans="2:2" s="207" customFormat="1">
      <c r="B186" s="857"/>
    </row>
    <row r="187" spans="2:2" s="207" customFormat="1">
      <c r="B187" s="857"/>
    </row>
    <row r="188" spans="2:2" s="207" customFormat="1">
      <c r="B188" s="857"/>
    </row>
    <row r="189" spans="2:2" s="207" customFormat="1">
      <c r="B189" s="857"/>
    </row>
    <row r="190" spans="2:2" s="207" customFormat="1">
      <c r="B190" s="857"/>
    </row>
    <row r="191" spans="2:2" s="207" customFormat="1">
      <c r="B191" s="857"/>
    </row>
    <row r="192" spans="2:2" s="207" customFormat="1">
      <c r="B192" s="857"/>
    </row>
    <row r="193" spans="2:2" s="207" customFormat="1">
      <c r="B193" s="857"/>
    </row>
    <row r="194" spans="2:2" s="207" customFormat="1">
      <c r="B194" s="857"/>
    </row>
    <row r="195" spans="2:2" s="207" customFormat="1">
      <c r="B195" s="857"/>
    </row>
    <row r="196" spans="2:2" s="207" customFormat="1">
      <c r="B196" s="857"/>
    </row>
    <row r="197" spans="2:2" s="207" customFormat="1">
      <c r="B197" s="857"/>
    </row>
    <row r="198" spans="2:2" s="207" customFormat="1">
      <c r="B198" s="857"/>
    </row>
    <row r="199" spans="2:2" s="207" customFormat="1">
      <c r="B199" s="857"/>
    </row>
    <row r="200" spans="2:2" s="207" customFormat="1">
      <c r="B200" s="857"/>
    </row>
    <row r="201" spans="2:2" s="207" customFormat="1">
      <c r="B201" s="857"/>
    </row>
    <row r="202" spans="2:2" s="207" customFormat="1">
      <c r="B202" s="857"/>
    </row>
    <row r="203" spans="2:2" s="207" customFormat="1">
      <c r="B203" s="857"/>
    </row>
    <row r="204" spans="2:2" s="207" customFormat="1">
      <c r="B204" s="857"/>
    </row>
    <row r="205" spans="2:2" s="207" customFormat="1">
      <c r="B205" s="857"/>
    </row>
    <row r="206" spans="2:2" s="207" customFormat="1">
      <c r="B206" s="857"/>
    </row>
    <row r="207" spans="2:2" s="207" customFormat="1">
      <c r="B207" s="857"/>
    </row>
    <row r="208" spans="2:2" s="207" customFormat="1">
      <c r="B208" s="857"/>
    </row>
    <row r="209" spans="2:2" s="207" customFormat="1">
      <c r="B209" s="857"/>
    </row>
    <row r="210" spans="2:2" s="207" customFormat="1">
      <c r="B210" s="857"/>
    </row>
    <row r="211" spans="2:2" s="207" customFormat="1">
      <c r="B211" s="857"/>
    </row>
    <row r="212" spans="2:2" s="207" customFormat="1">
      <c r="B212" s="857"/>
    </row>
    <row r="213" spans="2:2" s="207" customFormat="1">
      <c r="B213" s="857"/>
    </row>
    <row r="214" spans="2:2" s="207" customFormat="1">
      <c r="B214" s="857"/>
    </row>
    <row r="215" spans="2:2" s="207" customFormat="1">
      <c r="B215" s="857"/>
    </row>
    <row r="216" spans="2:2" s="207" customFormat="1">
      <c r="B216" s="857"/>
    </row>
    <row r="217" spans="2:2" s="207" customFormat="1">
      <c r="B217" s="857"/>
    </row>
    <row r="218" spans="2:2" s="207" customFormat="1">
      <c r="B218" s="857"/>
    </row>
    <row r="219" spans="2:2" s="207" customFormat="1">
      <c r="B219" s="857"/>
    </row>
    <row r="220" spans="2:2" s="207" customFormat="1">
      <c r="B220" s="857"/>
    </row>
    <row r="221" spans="2:2" s="207" customFormat="1">
      <c r="B221" s="857"/>
    </row>
    <row r="222" spans="2:2" s="207" customFormat="1">
      <c r="B222" s="857"/>
    </row>
    <row r="223" spans="2:2" s="207" customFormat="1">
      <c r="B223" s="857"/>
    </row>
    <row r="224" spans="2:2" s="207" customFormat="1">
      <c r="B224" s="857"/>
    </row>
    <row r="225" spans="2:2" s="207" customFormat="1">
      <c r="B225" s="857"/>
    </row>
    <row r="226" spans="2:2" s="207" customFormat="1">
      <c r="B226" s="857"/>
    </row>
    <row r="227" spans="2:2" s="207" customFormat="1">
      <c r="B227" s="857"/>
    </row>
    <row r="228" spans="2:2" s="207" customFormat="1">
      <c r="B228" s="857"/>
    </row>
    <row r="229" spans="2:2" s="207" customFormat="1">
      <c r="B229" s="857"/>
    </row>
    <row r="230" spans="2:2" s="207" customFormat="1">
      <c r="B230" s="857"/>
    </row>
    <row r="231" spans="2:2" s="207" customFormat="1">
      <c r="B231" s="857"/>
    </row>
    <row r="232" spans="2:2" s="207" customFormat="1">
      <c r="B232" s="857"/>
    </row>
    <row r="233" spans="2:2" s="207" customFormat="1">
      <c r="B233" s="857"/>
    </row>
    <row r="234" spans="2:2" s="207" customFormat="1">
      <c r="B234" s="857"/>
    </row>
    <row r="235" spans="2:2" s="207" customFormat="1">
      <c r="B235" s="857"/>
    </row>
    <row r="236" spans="2:2" s="207" customFormat="1">
      <c r="B236" s="857"/>
    </row>
    <row r="237" spans="2:2" s="207" customFormat="1">
      <c r="B237" s="857"/>
    </row>
    <row r="238" spans="2:2" s="207" customFormat="1">
      <c r="B238" s="857"/>
    </row>
    <row r="239" spans="2:2" s="207" customFormat="1">
      <c r="B239" s="857"/>
    </row>
    <row r="240" spans="2:2" s="207" customFormat="1">
      <c r="B240" s="857"/>
    </row>
    <row r="241" spans="2:2" s="207" customFormat="1">
      <c r="B241" s="857"/>
    </row>
    <row r="242" spans="2:2" s="207" customFormat="1">
      <c r="B242" s="857"/>
    </row>
    <row r="243" spans="2:2" s="207" customFormat="1">
      <c r="B243" s="857"/>
    </row>
    <row r="244" spans="2:2" s="207" customFormat="1">
      <c r="B244" s="857"/>
    </row>
    <row r="245" spans="2:2" s="207" customFormat="1">
      <c r="B245" s="857"/>
    </row>
    <row r="246" spans="2:2" s="207" customFormat="1">
      <c r="B246" s="857"/>
    </row>
    <row r="247" spans="2:2" s="207" customFormat="1">
      <c r="B247" s="857"/>
    </row>
    <row r="248" spans="2:2" s="207" customFormat="1">
      <c r="B248" s="857"/>
    </row>
    <row r="249" spans="2:2" s="207" customFormat="1">
      <c r="B249" s="857"/>
    </row>
    <row r="250" spans="2:2" s="207" customFormat="1">
      <c r="B250" s="857"/>
    </row>
    <row r="251" spans="2:2" s="207" customFormat="1">
      <c r="B251" s="857"/>
    </row>
    <row r="252" spans="2:2" s="207" customFormat="1">
      <c r="B252" s="857"/>
    </row>
    <row r="253" spans="2:2" s="207" customFormat="1">
      <c r="B253" s="857"/>
    </row>
    <row r="254" spans="2:2" s="207" customFormat="1">
      <c r="B254" s="857"/>
    </row>
    <row r="255" spans="2:2" s="207" customFormat="1">
      <c r="B255" s="857"/>
    </row>
    <row r="256" spans="2:2" s="207" customFormat="1">
      <c r="B256" s="857"/>
    </row>
    <row r="257" spans="2:2" s="207" customFormat="1">
      <c r="B257" s="857"/>
    </row>
    <row r="258" spans="2:2" s="207" customFormat="1">
      <c r="B258" s="857"/>
    </row>
    <row r="259" spans="2:2" s="207" customFormat="1">
      <c r="B259" s="857"/>
    </row>
    <row r="260" spans="2:2" s="207" customFormat="1">
      <c r="B260" s="857"/>
    </row>
    <row r="261" spans="2:2" s="207" customFormat="1">
      <c r="B261" s="857"/>
    </row>
    <row r="262" spans="2:2" s="207" customFormat="1">
      <c r="B262" s="857"/>
    </row>
    <row r="263" spans="2:2" s="207" customFormat="1">
      <c r="B263" s="857"/>
    </row>
    <row r="264" spans="2:2" s="207" customFormat="1">
      <c r="B264" s="857"/>
    </row>
    <row r="265" spans="2:2" s="207" customFormat="1">
      <c r="B265" s="857"/>
    </row>
    <row r="266" spans="2:2" s="207" customFormat="1">
      <c r="B266" s="857"/>
    </row>
    <row r="267" spans="2:2" s="207" customFormat="1">
      <c r="B267" s="857"/>
    </row>
    <row r="268" spans="2:2" s="207" customFormat="1">
      <c r="B268" s="857"/>
    </row>
    <row r="269" spans="2:2" s="207" customFormat="1">
      <c r="B269" s="857"/>
    </row>
    <row r="270" spans="2:2" s="207" customFormat="1">
      <c r="B270" s="857"/>
    </row>
    <row r="271" spans="2:2" s="207" customFormat="1">
      <c r="B271" s="857"/>
    </row>
    <row r="272" spans="2:2" s="207" customFormat="1">
      <c r="B272" s="857"/>
    </row>
    <row r="273" spans="2:2" s="207" customFormat="1">
      <c r="B273" s="857"/>
    </row>
    <row r="274" spans="2:2" s="207" customFormat="1">
      <c r="B274" s="857"/>
    </row>
    <row r="275" spans="2:2" s="207" customFormat="1">
      <c r="B275" s="857"/>
    </row>
    <row r="276" spans="2:2" s="207" customFormat="1">
      <c r="B276" s="857"/>
    </row>
    <row r="277" spans="2:2" s="207" customFormat="1">
      <c r="B277" s="857"/>
    </row>
    <row r="278" spans="2:2" s="207" customFormat="1">
      <c r="B278" s="857"/>
    </row>
    <row r="279" spans="2:2" s="207" customFormat="1">
      <c r="B279" s="857"/>
    </row>
    <row r="280" spans="2:2" s="207" customFormat="1">
      <c r="B280" s="857"/>
    </row>
    <row r="281" spans="2:2" s="207" customFormat="1">
      <c r="B281" s="857"/>
    </row>
    <row r="282" spans="2:2" s="207" customFormat="1">
      <c r="B282" s="857"/>
    </row>
    <row r="283" spans="2:2" s="207" customFormat="1">
      <c r="B283" s="857"/>
    </row>
    <row r="284" spans="2:2" s="207" customFormat="1">
      <c r="B284" s="857"/>
    </row>
    <row r="285" spans="2:2" s="207" customFormat="1">
      <c r="B285" s="857"/>
    </row>
    <row r="286" spans="2:2" s="207" customFormat="1">
      <c r="B286" s="857"/>
    </row>
    <row r="287" spans="2:2" s="207" customFormat="1">
      <c r="B287" s="857"/>
    </row>
    <row r="288" spans="2:2" s="207" customFormat="1">
      <c r="B288" s="857"/>
    </row>
    <row r="289" spans="2:2" s="207" customFormat="1">
      <c r="B289" s="857"/>
    </row>
    <row r="290" spans="2:2" s="207" customFormat="1">
      <c r="B290" s="857"/>
    </row>
    <row r="291" spans="2:2" s="207" customFormat="1">
      <c r="B291" s="857"/>
    </row>
    <row r="292" spans="2:2" s="207" customFormat="1">
      <c r="B292" s="857"/>
    </row>
    <row r="293" spans="2:2" s="207" customFormat="1">
      <c r="B293" s="857"/>
    </row>
    <row r="294" spans="2:2" s="207" customFormat="1">
      <c r="B294" s="857"/>
    </row>
    <row r="295" spans="2:2" s="207" customFormat="1">
      <c r="B295" s="857"/>
    </row>
    <row r="296" spans="2:2" s="207" customFormat="1">
      <c r="B296" s="857"/>
    </row>
    <row r="297" spans="2:2" s="207" customFormat="1">
      <c r="B297" s="857"/>
    </row>
    <row r="298" spans="2:2" s="207" customFormat="1">
      <c r="B298" s="857"/>
    </row>
    <row r="299" spans="2:2" s="207" customFormat="1">
      <c r="B299" s="857"/>
    </row>
    <row r="300" spans="2:2" s="207" customFormat="1">
      <c r="B300" s="857"/>
    </row>
    <row r="301" spans="2:2" s="207" customFormat="1">
      <c r="B301" s="857"/>
    </row>
    <row r="302" spans="2:2" s="207" customFormat="1">
      <c r="B302" s="857"/>
    </row>
    <row r="303" spans="2:2" s="207" customFormat="1">
      <c r="B303" s="857"/>
    </row>
    <row r="304" spans="2:2" s="207" customFormat="1">
      <c r="B304" s="857"/>
    </row>
    <row r="305" spans="2:2" s="207" customFormat="1">
      <c r="B305" s="857"/>
    </row>
    <row r="306" spans="2:2" s="207" customFormat="1">
      <c r="B306" s="857"/>
    </row>
    <row r="307" spans="2:2" s="207" customFormat="1">
      <c r="B307" s="857"/>
    </row>
    <row r="308" spans="2:2" s="207" customFormat="1">
      <c r="B308" s="857"/>
    </row>
    <row r="309" spans="2:2" s="207" customFormat="1">
      <c r="B309" s="857"/>
    </row>
    <row r="310" spans="2:2" s="207" customFormat="1">
      <c r="B310" s="857"/>
    </row>
    <row r="311" spans="2:2" s="207" customFormat="1">
      <c r="B311" s="857"/>
    </row>
    <row r="312" spans="2:2" s="207" customFormat="1">
      <c r="B312" s="857"/>
    </row>
    <row r="313" spans="2:2" s="207" customFormat="1">
      <c r="B313" s="857"/>
    </row>
    <row r="314" spans="2:2" s="207" customFormat="1">
      <c r="B314" s="857"/>
    </row>
    <row r="315" spans="2:2" s="207" customFormat="1">
      <c r="B315" s="857"/>
    </row>
    <row r="316" spans="2:2" s="207" customFormat="1">
      <c r="B316" s="857"/>
    </row>
    <row r="317" spans="2:2" s="207" customFormat="1">
      <c r="B317" s="857"/>
    </row>
    <row r="318" spans="2:2" s="207" customFormat="1">
      <c r="B318" s="857"/>
    </row>
    <row r="319" spans="2:2" s="207" customFormat="1">
      <c r="B319" s="857"/>
    </row>
    <row r="320" spans="2:2" s="207" customFormat="1">
      <c r="B320" s="857"/>
    </row>
    <row r="321" spans="2:2" s="207" customFormat="1">
      <c r="B321" s="857"/>
    </row>
    <row r="322" spans="2:2" s="207" customFormat="1">
      <c r="B322" s="857"/>
    </row>
    <row r="323" spans="2:2" s="207" customFormat="1">
      <c r="B323" s="857"/>
    </row>
    <row r="324" spans="2:2" s="207" customFormat="1">
      <c r="B324" s="857"/>
    </row>
    <row r="325" spans="2:2" s="207" customFormat="1">
      <c r="B325" s="857"/>
    </row>
    <row r="326" spans="2:2" s="207" customFormat="1">
      <c r="B326" s="857"/>
    </row>
    <row r="327" spans="2:2" s="207" customFormat="1">
      <c r="B327" s="857"/>
    </row>
    <row r="328" spans="2:2" s="207" customFormat="1">
      <c r="B328" s="857"/>
    </row>
    <row r="329" spans="2:2" s="207" customFormat="1">
      <c r="B329" s="857"/>
    </row>
    <row r="330" spans="2:2" s="207" customFormat="1">
      <c r="B330" s="857"/>
    </row>
    <row r="331" spans="2:2" s="207" customFormat="1">
      <c r="B331" s="857"/>
    </row>
    <row r="332" spans="2:2" s="207" customFormat="1">
      <c r="B332" s="857"/>
    </row>
    <row r="333" spans="2:2" s="207" customFormat="1">
      <c r="B333" s="857"/>
    </row>
    <row r="334" spans="2:2" s="207" customFormat="1">
      <c r="B334" s="857"/>
    </row>
    <row r="335" spans="2:2" s="207" customFormat="1">
      <c r="B335" s="857"/>
    </row>
    <row r="336" spans="2:2" s="207" customFormat="1">
      <c r="B336" s="857"/>
    </row>
    <row r="337" spans="2:2" s="207" customFormat="1">
      <c r="B337" s="857"/>
    </row>
    <row r="338" spans="2:2" s="207" customFormat="1">
      <c r="B338" s="857"/>
    </row>
    <row r="339" spans="2:2" s="207" customFormat="1">
      <c r="B339" s="857"/>
    </row>
    <row r="340" spans="2:2" s="207" customFormat="1">
      <c r="B340" s="857"/>
    </row>
    <row r="341" spans="2:2" s="207" customFormat="1">
      <c r="B341" s="857"/>
    </row>
    <row r="342" spans="2:2" s="207" customFormat="1">
      <c r="B342" s="857"/>
    </row>
    <row r="343" spans="2:2" s="207" customFormat="1">
      <c r="B343" s="857"/>
    </row>
    <row r="344" spans="2:2" s="207" customFormat="1">
      <c r="B344" s="857"/>
    </row>
    <row r="345" spans="2:2" s="207" customFormat="1">
      <c r="B345" s="857"/>
    </row>
    <row r="346" spans="2:2" s="207" customFormat="1">
      <c r="B346" s="857"/>
    </row>
    <row r="347" spans="2:2" s="207" customFormat="1">
      <c r="B347" s="857"/>
    </row>
    <row r="348" spans="2:2" s="207" customFormat="1">
      <c r="B348" s="857"/>
    </row>
    <row r="349" spans="2:2" s="207" customFormat="1">
      <c r="B349" s="857"/>
    </row>
    <row r="350" spans="2:2" s="207" customFormat="1">
      <c r="B350" s="857"/>
    </row>
    <row r="351" spans="2:2" s="207" customFormat="1">
      <c r="B351" s="857"/>
    </row>
    <row r="352" spans="2:2" s="207" customFormat="1">
      <c r="B352" s="857"/>
    </row>
    <row r="353" spans="2:2" s="207" customFormat="1">
      <c r="B353" s="857"/>
    </row>
    <row r="354" spans="2:2" s="207" customFormat="1">
      <c r="B354" s="857"/>
    </row>
    <row r="355" spans="2:2" s="207" customFormat="1">
      <c r="B355" s="857"/>
    </row>
    <row r="356" spans="2:2" s="207" customFormat="1">
      <c r="B356" s="857"/>
    </row>
    <row r="357" spans="2:2" s="207" customFormat="1">
      <c r="B357" s="857"/>
    </row>
    <row r="358" spans="2:2" s="207" customFormat="1">
      <c r="B358" s="857"/>
    </row>
    <row r="359" spans="2:2" s="207" customFormat="1">
      <c r="B359" s="857"/>
    </row>
    <row r="360" spans="2:2" s="207" customFormat="1">
      <c r="B360" s="857"/>
    </row>
    <row r="361" spans="2:2" s="207" customFormat="1">
      <c r="B361" s="857"/>
    </row>
    <row r="362" spans="2:2" s="207" customFormat="1">
      <c r="B362" s="857"/>
    </row>
    <row r="363" spans="2:2" s="207" customFormat="1">
      <c r="B363" s="857"/>
    </row>
    <row r="364" spans="2:2" s="207" customFormat="1">
      <c r="B364" s="857"/>
    </row>
    <row r="365" spans="2:2" s="207" customFormat="1">
      <c r="B365" s="857"/>
    </row>
    <row r="366" spans="2:2" s="207" customFormat="1">
      <c r="B366" s="857"/>
    </row>
    <row r="367" spans="2:2" s="207" customFormat="1">
      <c r="B367" s="857"/>
    </row>
    <row r="368" spans="2:2" s="207" customFormat="1">
      <c r="B368" s="857"/>
    </row>
    <row r="369" spans="2:2" s="207" customFormat="1">
      <c r="B369" s="857"/>
    </row>
    <row r="370" spans="2:2" s="207" customFormat="1">
      <c r="B370" s="857"/>
    </row>
    <row r="371" spans="2:2" s="207" customFormat="1">
      <c r="B371" s="857"/>
    </row>
    <row r="372" spans="2:2" s="207" customFormat="1">
      <c r="B372" s="857"/>
    </row>
    <row r="373" spans="2:2" s="207" customFormat="1">
      <c r="B373" s="857"/>
    </row>
    <row r="374" spans="2:2" s="207" customFormat="1">
      <c r="B374" s="857"/>
    </row>
    <row r="375" spans="2:2" s="207" customFormat="1">
      <c r="B375" s="857"/>
    </row>
    <row r="376" spans="2:2" s="207" customFormat="1">
      <c r="B376" s="857"/>
    </row>
    <row r="377" spans="2:2" s="207" customFormat="1">
      <c r="B377" s="857"/>
    </row>
    <row r="378" spans="2:2" s="207" customFormat="1">
      <c r="B378" s="857"/>
    </row>
    <row r="379" spans="2:2" s="207" customFormat="1">
      <c r="B379" s="857"/>
    </row>
    <row r="380" spans="2:2" s="207" customFormat="1">
      <c r="B380" s="857"/>
    </row>
    <row r="381" spans="2:2" s="207" customFormat="1">
      <c r="B381" s="857"/>
    </row>
    <row r="382" spans="2:2" s="207" customFormat="1">
      <c r="B382" s="857"/>
    </row>
    <row r="383" spans="2:2" s="207" customFormat="1">
      <c r="B383" s="857"/>
    </row>
    <row r="384" spans="2:2" s="207" customFormat="1">
      <c r="B384" s="857"/>
    </row>
    <row r="385" spans="2:2" s="207" customFormat="1">
      <c r="B385" s="857"/>
    </row>
    <row r="386" spans="2:2" s="207" customFormat="1">
      <c r="B386" s="857"/>
    </row>
    <row r="387" spans="2:2" s="207" customFormat="1">
      <c r="B387" s="857"/>
    </row>
    <row r="388" spans="2:2" s="207" customFormat="1">
      <c r="B388" s="857"/>
    </row>
    <row r="389" spans="2:2" s="207" customFormat="1">
      <c r="B389" s="857"/>
    </row>
    <row r="390" spans="2:2" s="207" customFormat="1">
      <c r="B390" s="857"/>
    </row>
    <row r="391" spans="2:2" s="207" customFormat="1">
      <c r="B391" s="857"/>
    </row>
    <row r="392" spans="2:2" s="207" customFormat="1">
      <c r="B392" s="857"/>
    </row>
    <row r="393" spans="2:2" s="207" customFormat="1">
      <c r="B393" s="857"/>
    </row>
    <row r="394" spans="2:2" s="207" customFormat="1">
      <c r="B394" s="857"/>
    </row>
    <row r="395" spans="2:2" s="207" customFormat="1">
      <c r="B395" s="857"/>
    </row>
    <row r="396" spans="2:2" s="207" customFormat="1">
      <c r="B396" s="857"/>
    </row>
    <row r="397" spans="2:2" s="207" customFormat="1">
      <c r="B397" s="857"/>
    </row>
    <row r="398" spans="2:2" s="207" customFormat="1">
      <c r="B398" s="857"/>
    </row>
    <row r="399" spans="2:2" s="207" customFormat="1">
      <c r="B399" s="857"/>
    </row>
    <row r="400" spans="2:2" s="207" customFormat="1">
      <c r="B400" s="857"/>
    </row>
    <row r="401" spans="2:2" s="207" customFormat="1">
      <c r="B401" s="857"/>
    </row>
    <row r="402" spans="2:2" s="207" customFormat="1">
      <c r="B402" s="857"/>
    </row>
    <row r="403" spans="2:2" s="207" customFormat="1">
      <c r="B403" s="857"/>
    </row>
    <row r="404" spans="2:2" s="207" customFormat="1">
      <c r="B404" s="857"/>
    </row>
    <row r="405" spans="2:2" s="207" customFormat="1">
      <c r="B405" s="857"/>
    </row>
    <row r="406" spans="2:2" s="207" customFormat="1">
      <c r="B406" s="857"/>
    </row>
    <row r="407" spans="2:2" s="207" customFormat="1">
      <c r="B407" s="857"/>
    </row>
    <row r="408" spans="2:2" s="207" customFormat="1">
      <c r="B408" s="857"/>
    </row>
    <row r="409" spans="2:2" s="207" customFormat="1">
      <c r="B409" s="857"/>
    </row>
    <row r="410" spans="2:2" s="207" customFormat="1">
      <c r="B410" s="857"/>
    </row>
    <row r="411" spans="2:2" s="207" customFormat="1">
      <c r="B411" s="857"/>
    </row>
    <row r="412" spans="2:2" s="207" customFormat="1">
      <c r="B412" s="857"/>
    </row>
    <row r="413" spans="2:2" s="207" customFormat="1">
      <c r="B413" s="857"/>
    </row>
    <row r="414" spans="2:2" s="207" customFormat="1">
      <c r="B414" s="857"/>
    </row>
    <row r="415" spans="2:2" s="207" customFormat="1">
      <c r="B415" s="857"/>
    </row>
    <row r="416" spans="2:2" s="207" customFormat="1">
      <c r="B416" s="857"/>
    </row>
    <row r="417" spans="2:2" s="207" customFormat="1">
      <c r="B417" s="857"/>
    </row>
    <row r="418" spans="2:2" s="207" customFormat="1">
      <c r="B418" s="857"/>
    </row>
    <row r="419" spans="2:2" s="207" customFormat="1">
      <c r="B419" s="857"/>
    </row>
    <row r="420" spans="2:2" s="207" customFormat="1">
      <c r="B420" s="857"/>
    </row>
    <row r="421" spans="2:2" s="207" customFormat="1">
      <c r="B421" s="857"/>
    </row>
    <row r="422" spans="2:2" s="207" customFormat="1">
      <c r="B422" s="857"/>
    </row>
    <row r="423" spans="2:2" s="207" customFormat="1">
      <c r="B423" s="857"/>
    </row>
    <row r="424" spans="2:2" s="207" customFormat="1">
      <c r="B424" s="857"/>
    </row>
    <row r="425" spans="2:2" s="207" customFormat="1">
      <c r="B425" s="857"/>
    </row>
    <row r="426" spans="2:2" s="207" customFormat="1">
      <c r="B426" s="857"/>
    </row>
    <row r="427" spans="2:2" s="207" customFormat="1">
      <c r="B427" s="857"/>
    </row>
    <row r="428" spans="2:2" s="207" customFormat="1">
      <c r="B428" s="857"/>
    </row>
    <row r="429" spans="2:2" s="207" customFormat="1">
      <c r="B429" s="857"/>
    </row>
    <row r="430" spans="2:2" s="207" customFormat="1">
      <c r="B430" s="857"/>
    </row>
    <row r="431" spans="2:2" s="207" customFormat="1">
      <c r="B431" s="857"/>
    </row>
    <row r="432" spans="2:2" s="207" customFormat="1">
      <c r="B432" s="857"/>
    </row>
    <row r="433" spans="2:2" s="207" customFormat="1">
      <c r="B433" s="857"/>
    </row>
    <row r="434" spans="2:2" s="207" customFormat="1">
      <c r="B434" s="857"/>
    </row>
    <row r="435" spans="2:2" s="207" customFormat="1">
      <c r="B435" s="857"/>
    </row>
    <row r="436" spans="2:2" s="207" customFormat="1">
      <c r="B436" s="857"/>
    </row>
    <row r="437" spans="2:2" s="207" customFormat="1">
      <c r="B437" s="857"/>
    </row>
    <row r="438" spans="2:2" s="207" customFormat="1">
      <c r="B438" s="857"/>
    </row>
    <row r="439" spans="2:2" s="207" customFormat="1">
      <c r="B439" s="857"/>
    </row>
    <row r="440" spans="2:2" s="207" customFormat="1">
      <c r="B440" s="857"/>
    </row>
    <row r="441" spans="2:2" s="207" customFormat="1">
      <c r="B441" s="857"/>
    </row>
    <row r="442" spans="2:2" s="207" customFormat="1">
      <c r="B442" s="857"/>
    </row>
    <row r="443" spans="2:2" s="207" customFormat="1">
      <c r="B443" s="857"/>
    </row>
    <row r="444" spans="2:2" s="207" customFormat="1">
      <c r="B444" s="857"/>
    </row>
    <row r="445" spans="2:2" s="207" customFormat="1">
      <c r="B445" s="857"/>
    </row>
    <row r="446" spans="2:2" s="207" customFormat="1">
      <c r="B446" s="857"/>
    </row>
    <row r="447" spans="2:2" s="207" customFormat="1">
      <c r="B447" s="857"/>
    </row>
    <row r="448" spans="2:2" s="207" customFormat="1">
      <c r="B448" s="857"/>
    </row>
    <row r="449" spans="2:2" s="207" customFormat="1">
      <c r="B449" s="857"/>
    </row>
    <row r="450" spans="2:2" s="207" customFormat="1">
      <c r="B450" s="857"/>
    </row>
    <row r="451" spans="2:2" s="207" customFormat="1">
      <c r="B451" s="857"/>
    </row>
    <row r="452" spans="2:2" s="207" customFormat="1">
      <c r="B452" s="857"/>
    </row>
    <row r="453" spans="2:2" s="207" customFormat="1">
      <c r="B453" s="857"/>
    </row>
    <row r="454" spans="2:2" s="207" customFormat="1">
      <c r="B454" s="857"/>
    </row>
    <row r="455" spans="2:2" s="207" customFormat="1">
      <c r="B455" s="857"/>
    </row>
    <row r="456" spans="2:2" s="207" customFormat="1">
      <c r="B456" s="857"/>
    </row>
    <row r="457" spans="2:2" s="207" customFormat="1">
      <c r="B457" s="857"/>
    </row>
    <row r="458" spans="2:2" s="207" customFormat="1">
      <c r="B458" s="857"/>
    </row>
    <row r="459" spans="2:2" s="207" customFormat="1">
      <c r="B459" s="857"/>
    </row>
    <row r="460" spans="2:2" s="207" customFormat="1">
      <c r="B460" s="857"/>
    </row>
    <row r="461" spans="2:2" s="207" customFormat="1">
      <c r="B461" s="857"/>
    </row>
    <row r="462" spans="2:2" s="207" customFormat="1">
      <c r="B462" s="857"/>
    </row>
    <row r="463" spans="2:2" s="207" customFormat="1">
      <c r="B463" s="857"/>
    </row>
    <row r="464" spans="2:2" s="207" customFormat="1">
      <c r="B464" s="857"/>
    </row>
    <row r="465" spans="2:2" s="207" customFormat="1">
      <c r="B465" s="857"/>
    </row>
    <row r="466" spans="2:2" s="207" customFormat="1">
      <c r="B466" s="857"/>
    </row>
    <row r="467" spans="2:2" s="207" customFormat="1">
      <c r="B467" s="857"/>
    </row>
    <row r="468" spans="2:2" s="207" customFormat="1">
      <c r="B468" s="857"/>
    </row>
    <row r="469" spans="2:2" s="207" customFormat="1">
      <c r="B469" s="857"/>
    </row>
    <row r="470" spans="2:2" s="207" customFormat="1">
      <c r="B470" s="857"/>
    </row>
    <row r="471" spans="2:2" s="207" customFormat="1">
      <c r="B471" s="857"/>
    </row>
    <row r="472" spans="2:2" s="207" customFormat="1">
      <c r="B472" s="857"/>
    </row>
    <row r="473" spans="2:2" s="207" customFormat="1">
      <c r="B473" s="857"/>
    </row>
    <row r="474" spans="2:2" s="207" customFormat="1">
      <c r="B474" s="857"/>
    </row>
    <row r="475" spans="2:2" s="207" customFormat="1">
      <c r="B475" s="857"/>
    </row>
    <row r="476" spans="2:2" s="207" customFormat="1">
      <c r="B476" s="857"/>
    </row>
    <row r="477" spans="2:2" s="207" customFormat="1">
      <c r="B477" s="857"/>
    </row>
    <row r="478" spans="2:2" s="207" customFormat="1">
      <c r="B478" s="857"/>
    </row>
    <row r="479" spans="2:2" s="207" customFormat="1">
      <c r="B479" s="857"/>
    </row>
    <row r="480" spans="2:2" s="207" customFormat="1">
      <c r="B480" s="857"/>
    </row>
    <row r="481" spans="2:2" s="207" customFormat="1">
      <c r="B481" s="857"/>
    </row>
    <row r="482" spans="2:2" s="207" customFormat="1">
      <c r="B482" s="857"/>
    </row>
    <row r="483" spans="2:2" s="207" customFormat="1">
      <c r="B483" s="857"/>
    </row>
    <row r="484" spans="2:2" s="207" customFormat="1">
      <c r="B484" s="857"/>
    </row>
    <row r="485" spans="2:2" s="207" customFormat="1">
      <c r="B485" s="857"/>
    </row>
    <row r="486" spans="2:2" s="207" customFormat="1">
      <c r="B486" s="857"/>
    </row>
    <row r="487" spans="2:2" s="207" customFormat="1">
      <c r="B487" s="857"/>
    </row>
    <row r="488" spans="2:2" s="207" customFormat="1">
      <c r="B488" s="857"/>
    </row>
    <row r="489" spans="2:2" s="207" customFormat="1">
      <c r="B489" s="857"/>
    </row>
    <row r="490" spans="2:2" s="207" customFormat="1">
      <c r="B490" s="857"/>
    </row>
    <row r="491" spans="2:2" s="207" customFormat="1">
      <c r="B491" s="857"/>
    </row>
    <row r="492" spans="2:2" s="207" customFormat="1">
      <c r="B492" s="857"/>
    </row>
    <row r="493" spans="2:2" s="207" customFormat="1">
      <c r="B493" s="857"/>
    </row>
    <row r="494" spans="2:2" s="207" customFormat="1">
      <c r="B494" s="857"/>
    </row>
    <row r="495" spans="2:2" s="207" customFormat="1">
      <c r="B495" s="857"/>
    </row>
    <row r="496" spans="2:2" s="207" customFormat="1">
      <c r="B496" s="857"/>
    </row>
    <row r="497" spans="2:2" s="207" customFormat="1">
      <c r="B497" s="857"/>
    </row>
    <row r="498" spans="2:2" s="207" customFormat="1">
      <c r="B498" s="857"/>
    </row>
    <row r="499" spans="2:2" s="207" customFormat="1">
      <c r="B499" s="857"/>
    </row>
    <row r="500" spans="2:2" s="207" customFormat="1">
      <c r="B500" s="857"/>
    </row>
    <row r="501" spans="2:2" s="207" customFormat="1">
      <c r="B501" s="857"/>
    </row>
    <row r="502" spans="2:2" s="207" customFormat="1">
      <c r="B502" s="857"/>
    </row>
    <row r="503" spans="2:2" s="207" customFormat="1">
      <c r="B503" s="857"/>
    </row>
    <row r="504" spans="2:2" s="207" customFormat="1">
      <c r="B504" s="857"/>
    </row>
    <row r="505" spans="2:2" s="207" customFormat="1">
      <c r="B505" s="857"/>
    </row>
    <row r="506" spans="2:2" s="207" customFormat="1">
      <c r="B506" s="857"/>
    </row>
    <row r="507" spans="2:2" s="207" customFormat="1">
      <c r="B507" s="857"/>
    </row>
    <row r="508" spans="2:2" s="207" customFormat="1">
      <c r="B508" s="857"/>
    </row>
    <row r="509" spans="2:2" s="207" customFormat="1">
      <c r="B509" s="857"/>
    </row>
    <row r="510" spans="2:2" s="207" customFormat="1">
      <c r="B510" s="857"/>
    </row>
    <row r="511" spans="2:2" s="207" customFormat="1">
      <c r="B511" s="857"/>
    </row>
    <row r="512" spans="2:2" s="207" customFormat="1">
      <c r="B512" s="857"/>
    </row>
    <row r="513" spans="2:2" s="207" customFormat="1">
      <c r="B513" s="857"/>
    </row>
    <row r="514" spans="2:2" s="207" customFormat="1">
      <c r="B514" s="857"/>
    </row>
    <row r="515" spans="2:2" s="207" customFormat="1">
      <c r="B515" s="857"/>
    </row>
    <row r="516" spans="2:2" s="207" customFormat="1">
      <c r="B516" s="857"/>
    </row>
    <row r="517" spans="2:2" s="207" customFormat="1">
      <c r="B517" s="857"/>
    </row>
    <row r="518" spans="2:2" s="207" customFormat="1">
      <c r="B518" s="857"/>
    </row>
    <row r="519" spans="2:2" s="207" customFormat="1">
      <c r="B519" s="857"/>
    </row>
    <row r="520" spans="2:2" s="207" customFormat="1">
      <c r="B520" s="857"/>
    </row>
    <row r="521" spans="2:2" s="207" customFormat="1">
      <c r="B521" s="857"/>
    </row>
    <row r="522" spans="2:2" s="207" customFormat="1">
      <c r="B522" s="857"/>
    </row>
    <row r="523" spans="2:2" s="207" customFormat="1">
      <c r="B523" s="857"/>
    </row>
    <row r="524" spans="2:2" s="207" customFormat="1">
      <c r="B524" s="857"/>
    </row>
    <row r="525" spans="2:2" s="207" customFormat="1">
      <c r="B525" s="857"/>
    </row>
    <row r="526" spans="2:2" s="207" customFormat="1">
      <c r="B526" s="857"/>
    </row>
    <row r="527" spans="2:2" s="207" customFormat="1">
      <c r="B527" s="857"/>
    </row>
    <row r="528" spans="2:2" s="207" customFormat="1">
      <c r="B528" s="857"/>
    </row>
    <row r="529" spans="2:2" s="207" customFormat="1">
      <c r="B529" s="857"/>
    </row>
    <row r="530" spans="2:2" s="207" customFormat="1">
      <c r="B530" s="857"/>
    </row>
    <row r="531" spans="2:2" s="207" customFormat="1">
      <c r="B531" s="857"/>
    </row>
    <row r="532" spans="2:2" s="207" customFormat="1">
      <c r="B532" s="857"/>
    </row>
    <row r="533" spans="2:2" s="207" customFormat="1">
      <c r="B533" s="857"/>
    </row>
    <row r="534" spans="2:2" s="207" customFormat="1">
      <c r="B534" s="857"/>
    </row>
    <row r="535" spans="2:2" s="207" customFormat="1">
      <c r="B535" s="857"/>
    </row>
    <row r="536" spans="2:2" s="207" customFormat="1">
      <c r="B536" s="857"/>
    </row>
    <row r="537" spans="2:2" s="207" customFormat="1">
      <c r="B537" s="857"/>
    </row>
    <row r="538" spans="2:2" s="207" customFormat="1">
      <c r="B538" s="857"/>
    </row>
    <row r="539" spans="2:2" s="207" customFormat="1">
      <c r="B539" s="857"/>
    </row>
    <row r="540" spans="2:2" s="207" customFormat="1">
      <c r="B540" s="857"/>
    </row>
    <row r="541" spans="2:2" s="207" customFormat="1">
      <c r="B541" s="857"/>
    </row>
    <row r="542" spans="2:2" s="207" customFormat="1">
      <c r="B542" s="857"/>
    </row>
    <row r="543" spans="2:2" s="207" customFormat="1">
      <c r="B543" s="857"/>
    </row>
    <row r="544" spans="2:2" s="207" customFormat="1">
      <c r="B544" s="857"/>
    </row>
    <row r="545" spans="2:2" s="207" customFormat="1">
      <c r="B545" s="857"/>
    </row>
    <row r="546" spans="2:2" s="207" customFormat="1">
      <c r="B546" s="857"/>
    </row>
    <row r="547" spans="2:2" s="207" customFormat="1">
      <c r="B547" s="857"/>
    </row>
    <row r="548" spans="2:2" s="207" customFormat="1">
      <c r="B548" s="857"/>
    </row>
    <row r="549" spans="2:2" s="207" customFormat="1">
      <c r="B549" s="857"/>
    </row>
    <row r="550" spans="2:2" s="207" customFormat="1">
      <c r="B550" s="857"/>
    </row>
    <row r="551" spans="2:2" s="207" customFormat="1">
      <c r="B551" s="857"/>
    </row>
    <row r="552" spans="2:2" s="207" customFormat="1">
      <c r="B552" s="857"/>
    </row>
    <row r="553" spans="2:2" s="207" customFormat="1">
      <c r="B553" s="857"/>
    </row>
    <row r="554" spans="2:2" s="207" customFormat="1">
      <c r="B554" s="857"/>
    </row>
    <row r="555" spans="2:2" s="207" customFormat="1">
      <c r="B555" s="857"/>
    </row>
    <row r="556" spans="2:2" s="207" customFormat="1">
      <c r="B556" s="857"/>
    </row>
    <row r="557" spans="2:2" s="207" customFormat="1">
      <c r="B557" s="857"/>
    </row>
    <row r="558" spans="2:2" s="207" customFormat="1">
      <c r="B558" s="857"/>
    </row>
    <row r="559" spans="2:2" s="207" customFormat="1">
      <c r="B559" s="857"/>
    </row>
    <row r="560" spans="2:2" s="207" customFormat="1">
      <c r="B560" s="857"/>
    </row>
    <row r="561" spans="2:2" s="207" customFormat="1">
      <c r="B561" s="857"/>
    </row>
    <row r="562" spans="2:2" s="207" customFormat="1">
      <c r="B562" s="857"/>
    </row>
    <row r="563" spans="2:2" s="207" customFormat="1">
      <c r="B563" s="857"/>
    </row>
    <row r="564" spans="2:2" s="207" customFormat="1">
      <c r="B564" s="857"/>
    </row>
    <row r="565" spans="2:2" s="207" customFormat="1">
      <c r="B565" s="857"/>
    </row>
    <row r="566" spans="2:2" s="207" customFormat="1">
      <c r="B566" s="857"/>
    </row>
    <row r="567" spans="2:2" s="207" customFormat="1">
      <c r="B567" s="857"/>
    </row>
    <row r="568" spans="2:2" s="207" customFormat="1">
      <c r="B568" s="857"/>
    </row>
    <row r="569" spans="2:2" s="207" customFormat="1">
      <c r="B569" s="857"/>
    </row>
    <row r="570" spans="2:2" s="207" customFormat="1">
      <c r="B570" s="857"/>
    </row>
    <row r="571" spans="2:2" s="207" customFormat="1">
      <c r="B571" s="857"/>
    </row>
    <row r="572" spans="2:2" s="207" customFormat="1">
      <c r="B572" s="857"/>
    </row>
    <row r="573" spans="2:2" s="207" customFormat="1">
      <c r="B573" s="857"/>
    </row>
    <row r="574" spans="2:2" s="207" customFormat="1">
      <c r="B574" s="857"/>
    </row>
    <row r="575" spans="2:2" s="207" customFormat="1">
      <c r="B575" s="857"/>
    </row>
    <row r="576" spans="2:2" s="207" customFormat="1">
      <c r="B576" s="857"/>
    </row>
    <row r="577" spans="2:2" s="207" customFormat="1">
      <c r="B577" s="857"/>
    </row>
    <row r="578" spans="2:2" s="207" customFormat="1">
      <c r="B578" s="857"/>
    </row>
    <row r="579" spans="2:2" s="207" customFormat="1">
      <c r="B579" s="857"/>
    </row>
    <row r="580" spans="2:2" s="207" customFormat="1">
      <c r="B580" s="857"/>
    </row>
    <row r="581" spans="2:2" s="207" customFormat="1">
      <c r="B581" s="857"/>
    </row>
    <row r="582" spans="2:2" s="207" customFormat="1">
      <c r="B582" s="857"/>
    </row>
    <row r="583" spans="2:2" s="207" customFormat="1">
      <c r="B583" s="857"/>
    </row>
    <row r="584" spans="2:2" s="207" customFormat="1">
      <c r="B584" s="857"/>
    </row>
    <row r="585" spans="2:2" s="207" customFormat="1">
      <c r="B585" s="857"/>
    </row>
    <row r="586" spans="2:2" s="207" customFormat="1">
      <c r="B586" s="857"/>
    </row>
    <row r="587" spans="2:2" s="207" customFormat="1">
      <c r="B587" s="857"/>
    </row>
    <row r="588" spans="2:2" s="207" customFormat="1">
      <c r="B588" s="857"/>
    </row>
    <row r="589" spans="2:2" s="207" customFormat="1">
      <c r="B589" s="857"/>
    </row>
    <row r="590" spans="2:2" s="207" customFormat="1">
      <c r="B590" s="857"/>
    </row>
    <row r="591" spans="2:2" s="207" customFormat="1">
      <c r="B591" s="857"/>
    </row>
    <row r="592" spans="2:2" s="207" customFormat="1">
      <c r="B592" s="857"/>
    </row>
    <row r="593" spans="2:2" s="207" customFormat="1">
      <c r="B593" s="857"/>
    </row>
    <row r="594" spans="2:2" s="207" customFormat="1">
      <c r="B594" s="857"/>
    </row>
    <row r="595" spans="2:2" s="207" customFormat="1">
      <c r="B595" s="857"/>
    </row>
    <row r="596" spans="2:2" s="207" customFormat="1">
      <c r="B596" s="857"/>
    </row>
    <row r="597" spans="2:2" s="207" customFormat="1">
      <c r="B597" s="857"/>
    </row>
    <row r="598" spans="2:2" s="207" customFormat="1">
      <c r="B598" s="857"/>
    </row>
    <row r="599" spans="2:2" s="207" customFormat="1">
      <c r="B599" s="857"/>
    </row>
    <row r="600" spans="2:2" s="207" customFormat="1">
      <c r="B600" s="857"/>
    </row>
    <row r="601" spans="2:2" s="207" customFormat="1">
      <c r="B601" s="857"/>
    </row>
    <row r="602" spans="2:2" s="207" customFormat="1">
      <c r="B602" s="857"/>
    </row>
    <row r="603" spans="2:2" s="207" customFormat="1">
      <c r="B603" s="857"/>
    </row>
    <row r="604" spans="2:2" s="207" customFormat="1">
      <c r="B604" s="85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3"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  <mergeCell ref="O50:Q50"/>
    <mergeCell ref="O51:Q51"/>
    <mergeCell ref="O52:Q52"/>
    <mergeCell ref="O53:Q53"/>
    <mergeCell ref="O49:S49"/>
    <mergeCell ref="O44:Q44"/>
    <mergeCell ref="O47:Q47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  <mergeCell ref="O38:S38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1"/>
  <sheetViews>
    <sheetView zoomScale="150" zoomScaleNormal="15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47"/>
    </sheetView>
  </sheetViews>
  <sheetFormatPr defaultColWidth="9.140625" defaultRowHeight="12.75"/>
  <cols>
    <col min="1" max="1" width="8.85546875" style="478" customWidth="1"/>
    <col min="2" max="2" width="12.85546875" style="478" customWidth="1"/>
    <col min="3" max="3" width="13.5703125" style="478" customWidth="1"/>
    <col min="4" max="4" width="13" style="478" customWidth="1"/>
    <col min="5" max="5" width="14" style="478" customWidth="1"/>
    <col min="6" max="6" width="14.5703125" style="478" customWidth="1"/>
    <col min="7" max="7" width="15.28515625" style="478" customWidth="1"/>
    <col min="8" max="8" width="14.85546875" style="478" customWidth="1"/>
    <col min="9" max="9" width="15.85546875" style="478" customWidth="1"/>
    <col min="10" max="10" width="16" style="478" customWidth="1"/>
    <col min="11" max="11" width="15.28515625" style="478" customWidth="1"/>
    <col min="12" max="13" width="9.140625" style="478"/>
    <col min="14" max="14" width="10.42578125" style="478" customWidth="1"/>
    <col min="15" max="19" width="9.140625" style="478"/>
    <col min="20" max="20" width="10.140625" style="478" customWidth="1"/>
    <col min="21" max="16384" width="9.140625" style="478"/>
  </cols>
  <sheetData>
    <row r="1" spans="1:14" s="179" customFormat="1" ht="15.75">
      <c r="B1" s="577"/>
      <c r="C1" s="577"/>
      <c r="D1" s="1910" t="s">
        <v>883</v>
      </c>
      <c r="E1" s="1910"/>
      <c r="F1" s="1910"/>
      <c r="G1" s="1917" t="s">
        <v>476</v>
      </c>
      <c r="H1" s="1917"/>
      <c r="I1" s="1917"/>
      <c r="J1" s="577"/>
      <c r="K1" s="1283" t="s">
        <v>223</v>
      </c>
    </row>
    <row r="2" spans="1:14" s="182" customFormat="1" ht="12">
      <c r="F2" s="1382"/>
      <c r="K2" s="1284" t="s">
        <v>24</v>
      </c>
    </row>
    <row r="3" spans="1:14" s="182" customFormat="1" ht="15.75" customHeight="1">
      <c r="A3" s="1831" t="s">
        <v>1030</v>
      </c>
      <c r="B3" s="1785" t="s">
        <v>530</v>
      </c>
      <c r="C3" s="1954" t="s">
        <v>1318</v>
      </c>
      <c r="D3" s="1817" t="s">
        <v>900</v>
      </c>
      <c r="E3" s="1859"/>
      <c r="F3" s="1860"/>
      <c r="G3" s="1859" t="s">
        <v>157</v>
      </c>
      <c r="H3" s="1859"/>
      <c r="I3" s="1860"/>
      <c r="J3" s="1785" t="s">
        <v>847</v>
      </c>
      <c r="K3" s="1785" t="s">
        <v>981</v>
      </c>
    </row>
    <row r="4" spans="1:14" s="182" customFormat="1" ht="15" customHeight="1">
      <c r="A4" s="1831"/>
      <c r="B4" s="1786"/>
      <c r="C4" s="1786"/>
      <c r="D4" s="1282" t="s">
        <v>426</v>
      </c>
      <c r="E4" s="1282" t="s">
        <v>524</v>
      </c>
      <c r="F4" s="1375" t="s">
        <v>429</v>
      </c>
      <c r="G4" s="1282" t="s">
        <v>426</v>
      </c>
      <c r="H4" s="1282" t="s">
        <v>524</v>
      </c>
      <c r="I4" s="1281" t="s">
        <v>523</v>
      </c>
      <c r="J4" s="1786"/>
      <c r="K4" s="1786"/>
    </row>
    <row r="5" spans="1:14" s="579" customFormat="1" ht="11.25" customHeight="1">
      <c r="A5" s="1831"/>
      <c r="B5" s="368">
        <v>1</v>
      </c>
      <c r="C5" s="368">
        <v>2</v>
      </c>
      <c r="D5" s="578">
        <v>3</v>
      </c>
      <c r="E5" s="562">
        <v>4</v>
      </c>
      <c r="F5" s="578" t="s">
        <v>224</v>
      </c>
      <c r="G5" s="368">
        <v>6</v>
      </c>
      <c r="H5" s="368">
        <v>7</v>
      </c>
      <c r="I5" s="368" t="s">
        <v>227</v>
      </c>
      <c r="J5" s="562">
        <v>9</v>
      </c>
      <c r="K5" s="562" t="s">
        <v>225</v>
      </c>
    </row>
    <row r="6" spans="1:14" ht="13.35" customHeight="1">
      <c r="A6" s="152" t="s">
        <v>81</v>
      </c>
      <c r="B6" s="504">
        <v>115781.9</v>
      </c>
      <c r="C6" s="58">
        <v>12.31</v>
      </c>
      <c r="D6" s="504">
        <v>1762.9</v>
      </c>
      <c r="E6" s="58">
        <v>855.33</v>
      </c>
      <c r="F6" s="58">
        <f t="shared" ref="F6:F7" si="0">D6+E6</f>
        <v>2618.23</v>
      </c>
      <c r="G6" s="504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0"/>
    </row>
    <row r="7" spans="1:14" ht="13.35" customHeight="1">
      <c r="A7" s="340" t="s">
        <v>199</v>
      </c>
      <c r="B7" s="505">
        <v>137011.5</v>
      </c>
      <c r="C7" s="321">
        <v>9.4</v>
      </c>
      <c r="D7" s="505">
        <v>2162.1</v>
      </c>
      <c r="E7" s="321">
        <v>2320.9</v>
      </c>
      <c r="F7" s="321">
        <f t="shared" si="0"/>
        <v>4483</v>
      </c>
      <c r="G7" s="505">
        <v>14837.8</v>
      </c>
      <c r="H7" s="321">
        <v>273618.90000000002</v>
      </c>
      <c r="I7" s="321">
        <f t="shared" si="1"/>
        <v>288456.7</v>
      </c>
      <c r="J7" s="321">
        <v>83570.100000000006</v>
      </c>
      <c r="K7" s="321">
        <f t="shared" si="2"/>
        <v>513530.69999999995</v>
      </c>
      <c r="M7" s="580"/>
    </row>
    <row r="8" spans="1:14" ht="13.35" customHeight="1">
      <c r="A8" s="152" t="s">
        <v>792</v>
      </c>
      <c r="B8" s="504">
        <v>155823.70000000001</v>
      </c>
      <c r="C8" s="58">
        <v>5.8</v>
      </c>
      <c r="D8" s="504">
        <v>2533.9</v>
      </c>
      <c r="E8" s="58">
        <v>3231.1</v>
      </c>
      <c r="F8" s="58">
        <v>5765</v>
      </c>
      <c r="G8" s="504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0"/>
    </row>
    <row r="9" spans="1:14" s="386" customFormat="1" ht="13.35" customHeight="1">
      <c r="A9" s="438" t="s">
        <v>908</v>
      </c>
      <c r="B9" s="505">
        <v>174978.3</v>
      </c>
      <c r="C9" s="317">
        <v>2.2999999999999998</v>
      </c>
      <c r="D9" s="505">
        <v>3450</v>
      </c>
      <c r="E9" s="317">
        <v>5171.6000000000004</v>
      </c>
      <c r="F9" s="317">
        <v>8621.6</v>
      </c>
      <c r="G9" s="505">
        <v>5968.1</v>
      </c>
      <c r="H9" s="317">
        <v>371817.6</v>
      </c>
      <c r="I9" s="321">
        <v>377785.69999999995</v>
      </c>
      <c r="J9" s="317">
        <v>100452.9</v>
      </c>
      <c r="K9" s="321">
        <v>661840.79999999993</v>
      </c>
      <c r="M9" s="580"/>
    </row>
    <row r="10" spans="1:14" s="383" customFormat="1" ht="13.35" customHeight="1">
      <c r="A10" s="424" t="s">
        <v>1108</v>
      </c>
      <c r="B10" s="504">
        <v>194106.4</v>
      </c>
      <c r="C10" s="504">
        <v>0</v>
      </c>
      <c r="D10" s="504">
        <v>5184.7</v>
      </c>
      <c r="E10" s="504">
        <v>5839.1</v>
      </c>
      <c r="F10" s="504">
        <v>11023.8</v>
      </c>
      <c r="G10" s="504">
        <v>7468.8</v>
      </c>
      <c r="H10" s="504">
        <v>419702.1</v>
      </c>
      <c r="I10" s="504">
        <v>427170.89999999997</v>
      </c>
      <c r="J10" s="504">
        <v>112230.3</v>
      </c>
      <c r="K10" s="504">
        <v>744531.4</v>
      </c>
      <c r="L10" s="386"/>
      <c r="M10" s="580"/>
    </row>
    <row r="11" spans="1:14" s="383" customFormat="1" ht="13.35" customHeight="1">
      <c r="A11" s="438" t="s">
        <v>1167</v>
      </c>
      <c r="B11" s="503">
        <v>215482.2</v>
      </c>
      <c r="C11" s="503">
        <v>0</v>
      </c>
      <c r="D11" s="503">
        <v>5215.7</v>
      </c>
      <c r="E11" s="503">
        <v>7348.3</v>
      </c>
      <c r="F11" s="503">
        <v>12564</v>
      </c>
      <c r="G11" s="503">
        <v>11313.3</v>
      </c>
      <c r="H11" s="503">
        <v>475125.2</v>
      </c>
      <c r="I11" s="503">
        <v>486438.5</v>
      </c>
      <c r="J11" s="503">
        <v>124669.9</v>
      </c>
      <c r="K11" s="503">
        <v>839154.6</v>
      </c>
      <c r="M11" s="585"/>
    </row>
    <row r="12" spans="1:14" s="383" customFormat="1" ht="13.35" customHeight="1">
      <c r="A12" s="424" t="s">
        <v>1299</v>
      </c>
      <c r="B12" s="508">
        <v>252862.6</v>
      </c>
      <c r="C12" s="508">
        <v>0</v>
      </c>
      <c r="D12" s="508">
        <v>6541.6</v>
      </c>
      <c r="E12" s="508">
        <v>9916</v>
      </c>
      <c r="F12" s="508">
        <v>16457.599999999999</v>
      </c>
      <c r="G12" s="508">
        <v>9139.7000000000007</v>
      </c>
      <c r="H12" s="508">
        <v>565645.19999999995</v>
      </c>
      <c r="I12" s="508">
        <v>574784.89999999991</v>
      </c>
      <c r="J12" s="508">
        <v>135861.70000000001</v>
      </c>
      <c r="K12" s="508">
        <v>979966.79999999981</v>
      </c>
      <c r="M12" s="585"/>
    </row>
    <row r="13" spans="1:14" s="383" customFormat="1" ht="13.35" customHeight="1">
      <c r="A13" s="438" t="s">
        <v>1332</v>
      </c>
      <c r="B13" s="503">
        <v>288377.59999999998</v>
      </c>
      <c r="C13" s="503">
        <v>0</v>
      </c>
      <c r="D13" s="503">
        <v>7732.4</v>
      </c>
      <c r="E13" s="503">
        <v>14235.7</v>
      </c>
      <c r="F13" s="503">
        <v>21968.1</v>
      </c>
      <c r="G13" s="503">
        <v>9154.4</v>
      </c>
      <c r="H13" s="503">
        <v>651090.5</v>
      </c>
      <c r="I13" s="503">
        <v>660244.9</v>
      </c>
      <c r="J13" s="503">
        <v>159057.29999999999</v>
      </c>
      <c r="K13" s="503">
        <v>1129647.8999999999</v>
      </c>
      <c r="M13" s="585"/>
    </row>
    <row r="14" spans="1:14" s="383" customFormat="1" ht="13.35" customHeight="1">
      <c r="A14" s="591" t="s">
        <v>1471</v>
      </c>
      <c r="B14" s="508">
        <v>329523</v>
      </c>
      <c r="C14" s="508">
        <v>0</v>
      </c>
      <c r="D14" s="508">
        <v>1415.9</v>
      </c>
      <c r="E14" s="508">
        <v>20902.7</v>
      </c>
      <c r="F14" s="508">
        <v>22318.600000000002</v>
      </c>
      <c r="G14" s="508">
        <v>10709.7</v>
      </c>
      <c r="H14" s="508">
        <v>766225.4</v>
      </c>
      <c r="I14" s="508">
        <v>776935.1</v>
      </c>
      <c r="J14" s="508">
        <v>183088.4</v>
      </c>
      <c r="K14" s="508">
        <v>1311865.0999999999</v>
      </c>
      <c r="M14" s="585"/>
      <c r="N14" s="584"/>
    </row>
    <row r="15" spans="1:14" s="188" customFormat="1" ht="13.35" customHeight="1">
      <c r="A15" s="1618" t="s">
        <v>1600</v>
      </c>
      <c r="B15" s="503">
        <v>398418.5</v>
      </c>
      <c r="C15" s="503">
        <v>0</v>
      </c>
      <c r="D15" s="503">
        <v>2252.4</v>
      </c>
      <c r="E15" s="503">
        <v>28546.6</v>
      </c>
      <c r="F15" s="503">
        <v>30799</v>
      </c>
      <c r="G15" s="503">
        <v>12577.7</v>
      </c>
      <c r="H15" s="503">
        <v>846542.1</v>
      </c>
      <c r="I15" s="503">
        <v>859119.79999999993</v>
      </c>
      <c r="J15" s="503">
        <v>203477.6</v>
      </c>
      <c r="K15" s="503">
        <v>1491814.9</v>
      </c>
    </row>
    <row r="16" spans="1:14" ht="13.35" customHeight="1">
      <c r="A16" s="984" t="s">
        <v>1695</v>
      </c>
      <c r="B16" s="600">
        <v>483323.5</v>
      </c>
      <c r="C16" s="600">
        <v>0</v>
      </c>
      <c r="D16" s="600">
        <v>2519.4</v>
      </c>
      <c r="E16" s="600">
        <v>30302.1</v>
      </c>
      <c r="F16" s="600">
        <v>32821.5</v>
      </c>
      <c r="G16" s="600">
        <v>17966.599999999999</v>
      </c>
      <c r="H16" s="600">
        <v>922464.1</v>
      </c>
      <c r="I16" s="600">
        <v>940430.7</v>
      </c>
      <c r="J16" s="600">
        <v>214172.7</v>
      </c>
      <c r="K16" s="600">
        <v>1670748.4</v>
      </c>
      <c r="L16" s="580"/>
    </row>
    <row r="17" spans="1:15" ht="13.35" customHeight="1">
      <c r="A17" s="1285" t="s">
        <v>1764</v>
      </c>
      <c r="B17" s="603">
        <f>B29</f>
        <v>564520</v>
      </c>
      <c r="C17" s="603">
        <f t="shared" ref="C17:K17" si="3">C29</f>
        <v>0</v>
      </c>
      <c r="D17" s="603">
        <f t="shared" si="3"/>
        <v>2522.8000000000002</v>
      </c>
      <c r="E17" s="603">
        <f t="shared" si="3"/>
        <v>29500</v>
      </c>
      <c r="F17" s="603">
        <f t="shared" si="3"/>
        <v>32022.799999999999</v>
      </c>
      <c r="G17" s="603">
        <f t="shared" si="3"/>
        <v>18449.099999999999</v>
      </c>
      <c r="H17" s="603">
        <f t="shared" si="3"/>
        <v>994526.9</v>
      </c>
      <c r="I17" s="603">
        <f t="shared" si="3"/>
        <v>1012976</v>
      </c>
      <c r="J17" s="603">
        <f t="shared" si="3"/>
        <v>235190</v>
      </c>
      <c r="K17" s="603">
        <f t="shared" si="3"/>
        <v>1844708.8</v>
      </c>
      <c r="L17" s="580"/>
      <c r="M17" s="580"/>
    </row>
    <row r="18" spans="1:15" ht="13.35" customHeight="1">
      <c r="A18" s="424" t="s">
        <v>606</v>
      </c>
      <c r="B18" s="488">
        <v>502557.29999999993</v>
      </c>
      <c r="C18" s="508">
        <v>0</v>
      </c>
      <c r="D18" s="508">
        <v>2509.6</v>
      </c>
      <c r="E18" s="508">
        <v>29400.5</v>
      </c>
      <c r="F18" s="508">
        <f t="shared" ref="F18:F29" si="4">D18+E18</f>
        <v>31910.1</v>
      </c>
      <c r="G18" s="508">
        <v>17873</v>
      </c>
      <c r="H18" s="508">
        <v>920451.4</v>
      </c>
      <c r="I18" s="508">
        <f t="shared" ref="I18:I29" si="5">G18+H18</f>
        <v>938324.4</v>
      </c>
      <c r="J18" s="251">
        <v>214428.00000000017</v>
      </c>
      <c r="K18" s="251">
        <f t="shared" ref="K18:K29" si="6">B18+C18+F18+I18+J18</f>
        <v>1687219.8</v>
      </c>
      <c r="L18" s="580"/>
      <c r="M18" s="580"/>
      <c r="N18" s="580"/>
      <c r="O18" s="580"/>
    </row>
    <row r="19" spans="1:15" ht="13.35" customHeight="1">
      <c r="A19" s="438" t="s">
        <v>607</v>
      </c>
      <c r="B19" s="507">
        <v>504744.4</v>
      </c>
      <c r="C19" s="503">
        <v>0</v>
      </c>
      <c r="D19" s="503">
        <v>2518.1999999999998</v>
      </c>
      <c r="E19" s="503">
        <v>28404.5</v>
      </c>
      <c r="F19" s="503">
        <f t="shared" si="4"/>
        <v>30922.7</v>
      </c>
      <c r="G19" s="503">
        <v>18268.8</v>
      </c>
      <c r="H19" s="503">
        <v>926682.5</v>
      </c>
      <c r="I19" s="503">
        <f t="shared" si="5"/>
        <v>944951.3</v>
      </c>
      <c r="J19" s="316">
        <v>214429.2000000001</v>
      </c>
      <c r="K19" s="316">
        <f t="shared" si="6"/>
        <v>1695047.6</v>
      </c>
      <c r="L19" s="580"/>
      <c r="M19" s="580"/>
      <c r="N19" s="580"/>
      <c r="O19" s="580"/>
    </row>
    <row r="20" spans="1:15" ht="13.35" customHeight="1">
      <c r="A20" s="424" t="s">
        <v>601</v>
      </c>
      <c r="B20" s="488">
        <v>504494</v>
      </c>
      <c r="C20" s="508">
        <v>0</v>
      </c>
      <c r="D20" s="508">
        <v>2519.1999999999998</v>
      </c>
      <c r="E20" s="508">
        <v>28321.4</v>
      </c>
      <c r="F20" s="508">
        <f t="shared" si="4"/>
        <v>30840.600000000002</v>
      </c>
      <c r="G20" s="508">
        <v>18233.2</v>
      </c>
      <c r="H20" s="508">
        <v>937219.8</v>
      </c>
      <c r="I20" s="508">
        <f t="shared" si="5"/>
        <v>955453</v>
      </c>
      <c r="J20" s="251">
        <v>214991.3</v>
      </c>
      <c r="K20" s="251">
        <f t="shared" si="6"/>
        <v>1705778.9000000001</v>
      </c>
      <c r="L20" s="580"/>
      <c r="M20" s="580"/>
      <c r="N20" s="580"/>
      <c r="O20" s="580"/>
    </row>
    <row r="21" spans="1:15" ht="13.35" customHeight="1">
      <c r="A21" s="438" t="s">
        <v>608</v>
      </c>
      <c r="B21" s="507">
        <v>509795</v>
      </c>
      <c r="C21" s="503">
        <v>0</v>
      </c>
      <c r="D21" s="503">
        <v>2587.1</v>
      </c>
      <c r="E21" s="503">
        <v>27370.400000000001</v>
      </c>
      <c r="F21" s="503">
        <f t="shared" si="4"/>
        <v>29957.5</v>
      </c>
      <c r="G21" s="503">
        <v>18579.599999999999</v>
      </c>
      <c r="H21" s="503">
        <v>940661.7</v>
      </c>
      <c r="I21" s="503">
        <f t="shared" si="5"/>
        <v>959241.29999999993</v>
      </c>
      <c r="J21" s="316">
        <v>216335</v>
      </c>
      <c r="K21" s="316">
        <f t="shared" si="6"/>
        <v>1715328.7999999998</v>
      </c>
      <c r="L21" s="580"/>
      <c r="M21" s="580"/>
      <c r="N21" s="580"/>
      <c r="O21" s="580"/>
    </row>
    <row r="22" spans="1:15" ht="13.35" customHeight="1">
      <c r="A22" s="424" t="s">
        <v>609</v>
      </c>
      <c r="B22" s="488">
        <v>514478.79999999993</v>
      </c>
      <c r="C22" s="508">
        <v>0</v>
      </c>
      <c r="D22" s="508">
        <v>2606.6</v>
      </c>
      <c r="E22" s="508">
        <v>27520</v>
      </c>
      <c r="F22" s="508">
        <f t="shared" si="4"/>
        <v>30126.6</v>
      </c>
      <c r="G22" s="508">
        <v>19304.7</v>
      </c>
      <c r="H22" s="508">
        <v>945295.9</v>
      </c>
      <c r="I22" s="508">
        <f t="shared" si="5"/>
        <v>964600.6</v>
      </c>
      <c r="J22" s="251">
        <v>218214.5</v>
      </c>
      <c r="K22" s="251">
        <f t="shared" si="6"/>
        <v>1727420.5</v>
      </c>
      <c r="L22" s="580"/>
      <c r="M22" s="580"/>
      <c r="N22" s="580"/>
      <c r="O22" s="580"/>
    </row>
    <row r="23" spans="1:15" ht="13.35" customHeight="1">
      <c r="A23" s="438" t="s">
        <v>602</v>
      </c>
      <c r="B23" s="507">
        <v>514086.5</v>
      </c>
      <c r="C23" s="503">
        <v>0</v>
      </c>
      <c r="D23" s="503">
        <v>2594.1999999999998</v>
      </c>
      <c r="E23" s="503">
        <v>29863.8</v>
      </c>
      <c r="F23" s="503">
        <f t="shared" si="4"/>
        <v>32458</v>
      </c>
      <c r="G23" s="503">
        <v>19723.900000000001</v>
      </c>
      <c r="H23" s="503">
        <v>959926.7</v>
      </c>
      <c r="I23" s="503">
        <f t="shared" si="5"/>
        <v>979650.6</v>
      </c>
      <c r="J23" s="316">
        <v>222350.2</v>
      </c>
      <c r="K23" s="316">
        <f t="shared" si="6"/>
        <v>1748545.3</v>
      </c>
      <c r="L23" s="580"/>
      <c r="M23" s="580"/>
      <c r="N23" s="580"/>
      <c r="O23" s="580"/>
    </row>
    <row r="24" spans="1:15" ht="13.35" customHeight="1">
      <c r="A24" s="424" t="s">
        <v>610</v>
      </c>
      <c r="B24" s="488">
        <v>519255.1</v>
      </c>
      <c r="C24" s="508">
        <v>0</v>
      </c>
      <c r="D24" s="508">
        <v>2554.8000000000002</v>
      </c>
      <c r="E24" s="508">
        <v>29900.3</v>
      </c>
      <c r="F24" s="508">
        <f t="shared" si="4"/>
        <v>32455.1</v>
      </c>
      <c r="G24" s="508">
        <v>19469.599999999999</v>
      </c>
      <c r="H24" s="508">
        <v>957084.3</v>
      </c>
      <c r="I24" s="508">
        <f t="shared" si="5"/>
        <v>976553.9</v>
      </c>
      <c r="J24" s="251">
        <v>223748.1</v>
      </c>
      <c r="K24" s="251">
        <f t="shared" si="6"/>
        <v>1752012.2000000002</v>
      </c>
      <c r="L24" s="580"/>
      <c r="M24" s="580"/>
      <c r="N24" s="580"/>
      <c r="O24" s="580"/>
    </row>
    <row r="25" spans="1:15" ht="13.35" customHeight="1">
      <c r="A25" s="438" t="s">
        <v>611</v>
      </c>
      <c r="B25" s="507">
        <v>510921.2</v>
      </c>
      <c r="C25" s="503">
        <v>0</v>
      </c>
      <c r="D25" s="503">
        <v>2519.1999999999998</v>
      </c>
      <c r="E25" s="503">
        <v>30004.5</v>
      </c>
      <c r="F25" s="503">
        <f t="shared" si="4"/>
        <v>32523.7</v>
      </c>
      <c r="G25" s="503">
        <v>19949.400000000001</v>
      </c>
      <c r="H25" s="503">
        <v>967716.8</v>
      </c>
      <c r="I25" s="503">
        <f t="shared" si="5"/>
        <v>987666.20000000007</v>
      </c>
      <c r="J25" s="316">
        <v>226883.8</v>
      </c>
      <c r="K25" s="316">
        <f t="shared" si="6"/>
        <v>1757994.9000000001</v>
      </c>
      <c r="L25" s="580"/>
      <c r="M25" s="580"/>
      <c r="N25" s="580"/>
      <c r="O25" s="580"/>
    </row>
    <row r="26" spans="1:15" ht="13.35" customHeight="1">
      <c r="A26" s="424" t="s">
        <v>603</v>
      </c>
      <c r="B26" s="488">
        <v>513967.5</v>
      </c>
      <c r="C26" s="508">
        <v>0</v>
      </c>
      <c r="D26" s="508">
        <v>2518.9</v>
      </c>
      <c r="E26" s="508">
        <v>30934.400000000001</v>
      </c>
      <c r="F26" s="508">
        <f t="shared" si="4"/>
        <v>33453.300000000003</v>
      </c>
      <c r="G26" s="508">
        <v>19843.400000000001</v>
      </c>
      <c r="H26" s="508">
        <v>971006.9</v>
      </c>
      <c r="I26" s="508">
        <f t="shared" si="5"/>
        <v>990850.3</v>
      </c>
      <c r="J26" s="251">
        <v>229958.39999999999</v>
      </c>
      <c r="K26" s="251">
        <f t="shared" si="6"/>
        <v>1768229.5</v>
      </c>
      <c r="L26" s="580"/>
      <c r="M26" s="580"/>
      <c r="N26" s="580"/>
      <c r="O26" s="580"/>
    </row>
    <row r="27" spans="1:15" ht="13.35" customHeight="1">
      <c r="A27" s="438" t="s">
        <v>612</v>
      </c>
      <c r="B27" s="507">
        <v>523707.30000000005</v>
      </c>
      <c r="C27" s="503">
        <v>0</v>
      </c>
      <c r="D27" s="503">
        <v>2518.1</v>
      </c>
      <c r="E27" s="503">
        <v>29865.8</v>
      </c>
      <c r="F27" s="503">
        <f t="shared" si="4"/>
        <v>32383.899999999998</v>
      </c>
      <c r="G27" s="503">
        <v>19180.2</v>
      </c>
      <c r="H27" s="503">
        <v>974833.9</v>
      </c>
      <c r="I27" s="503">
        <f t="shared" si="5"/>
        <v>994014.1</v>
      </c>
      <c r="J27" s="316">
        <v>230759.5</v>
      </c>
      <c r="K27" s="316">
        <f t="shared" si="6"/>
        <v>1780864.8</v>
      </c>
      <c r="L27" s="580"/>
      <c r="M27" s="580"/>
      <c r="N27" s="580"/>
      <c r="O27" s="580"/>
    </row>
    <row r="28" spans="1:15" ht="13.35" customHeight="1">
      <c r="A28" s="424" t="s">
        <v>613</v>
      </c>
      <c r="B28" s="488">
        <v>536655.19999999995</v>
      </c>
      <c r="C28" s="508">
        <v>0</v>
      </c>
      <c r="D28" s="508">
        <v>2526.6</v>
      </c>
      <c r="E28" s="508">
        <v>29015.7</v>
      </c>
      <c r="F28" s="508">
        <f t="shared" si="4"/>
        <v>31542.3</v>
      </c>
      <c r="G28" s="508">
        <v>19203.5</v>
      </c>
      <c r="H28" s="508">
        <v>982361.4</v>
      </c>
      <c r="I28" s="508">
        <f t="shared" si="5"/>
        <v>1001564.9</v>
      </c>
      <c r="J28" s="251">
        <v>231383.8</v>
      </c>
      <c r="K28" s="251">
        <f t="shared" si="6"/>
        <v>1801146.2</v>
      </c>
      <c r="L28" s="580"/>
      <c r="M28" s="580"/>
      <c r="N28" s="580"/>
      <c r="O28" s="580"/>
    </row>
    <row r="29" spans="1:15" ht="13.35" customHeight="1">
      <c r="A29" s="438" t="s">
        <v>604</v>
      </c>
      <c r="B29" s="507">
        <v>564520</v>
      </c>
      <c r="C29" s="503">
        <v>0</v>
      </c>
      <c r="D29" s="503">
        <v>2522.8000000000002</v>
      </c>
      <c r="E29" s="503">
        <v>29500</v>
      </c>
      <c r="F29" s="503">
        <f t="shared" si="4"/>
        <v>32022.799999999999</v>
      </c>
      <c r="G29" s="503">
        <v>18449.099999999999</v>
      </c>
      <c r="H29" s="503">
        <v>994526.9</v>
      </c>
      <c r="I29" s="503">
        <f t="shared" si="5"/>
        <v>1012976</v>
      </c>
      <c r="J29" s="316">
        <v>235190</v>
      </c>
      <c r="K29" s="316">
        <f t="shared" si="6"/>
        <v>1844708.8</v>
      </c>
      <c r="L29" s="580"/>
      <c r="M29" s="580"/>
      <c r="N29" s="580"/>
      <c r="O29" s="580"/>
    </row>
    <row r="30" spans="1:15" ht="13.35" customHeight="1">
      <c r="A30" s="984" t="s">
        <v>2166</v>
      </c>
      <c r="B30" s="600">
        <f>B42</f>
        <v>647012.1</v>
      </c>
      <c r="C30" s="600">
        <f t="shared" ref="C30:K30" si="7">C42</f>
        <v>0</v>
      </c>
      <c r="D30" s="600">
        <f t="shared" si="7"/>
        <v>3617.6623075949301</v>
      </c>
      <c r="E30" s="600">
        <f t="shared" si="7"/>
        <v>28991.292731279518</v>
      </c>
      <c r="F30" s="600">
        <f t="shared" si="7"/>
        <v>32608.955038874446</v>
      </c>
      <c r="G30" s="600">
        <f t="shared" si="7"/>
        <v>25434.9005207714</v>
      </c>
      <c r="H30" s="600">
        <f t="shared" si="7"/>
        <v>1133333.5170284815</v>
      </c>
      <c r="I30" s="600">
        <f t="shared" si="7"/>
        <v>1158768.417549253</v>
      </c>
      <c r="J30" s="600">
        <f t="shared" si="7"/>
        <v>263754.42741187243</v>
      </c>
      <c r="K30" s="600">
        <f t="shared" si="7"/>
        <v>2102143.9</v>
      </c>
      <c r="L30" s="580"/>
      <c r="M30" s="580"/>
      <c r="N30" s="580"/>
      <c r="O30" s="580"/>
    </row>
    <row r="31" spans="1:15" ht="13.35" customHeight="1">
      <c r="A31" s="438" t="s">
        <v>606</v>
      </c>
      <c r="B31" s="507">
        <v>574805.4</v>
      </c>
      <c r="C31" s="503">
        <v>0</v>
      </c>
      <c r="D31" s="503">
        <v>2513.8577641087818</v>
      </c>
      <c r="E31" s="503">
        <v>28460.633497950552</v>
      </c>
      <c r="F31" s="503">
        <f t="shared" ref="F31:F47" si="8">D31+E31</f>
        <v>30974.491262059335</v>
      </c>
      <c r="G31" s="503">
        <v>18662.455745450501</v>
      </c>
      <c r="H31" s="503">
        <v>994409.93916433328</v>
      </c>
      <c r="I31" s="503">
        <f t="shared" ref="I31:I47" si="9">G31+H31</f>
        <v>1013072.3949097837</v>
      </c>
      <c r="J31" s="316">
        <v>235007.21382815702</v>
      </c>
      <c r="K31" s="316">
        <f t="shared" ref="K31:K47" si="10">B31+C31+F31+I31+J31</f>
        <v>1853859.5</v>
      </c>
      <c r="L31" s="580"/>
      <c r="M31" s="580"/>
      <c r="N31" s="580"/>
      <c r="O31" s="580"/>
    </row>
    <row r="32" spans="1:15" ht="13.35" customHeight="1">
      <c r="A32" s="424" t="s">
        <v>607</v>
      </c>
      <c r="B32" s="488">
        <v>574044.4</v>
      </c>
      <c r="C32" s="508">
        <v>0</v>
      </c>
      <c r="D32" s="508">
        <v>2519.086070930256</v>
      </c>
      <c r="E32" s="508">
        <v>27895.866015365056</v>
      </c>
      <c r="F32" s="508">
        <f t="shared" si="8"/>
        <v>30414.952086295314</v>
      </c>
      <c r="G32" s="508">
        <v>19036.412706213003</v>
      </c>
      <c r="H32" s="508">
        <v>1002378.1977650006</v>
      </c>
      <c r="I32" s="508">
        <f t="shared" si="9"/>
        <v>1021414.6104712136</v>
      </c>
      <c r="J32" s="251">
        <v>235373.6374424909</v>
      </c>
      <c r="K32" s="251">
        <f t="shared" si="10"/>
        <v>1861247.6</v>
      </c>
      <c r="L32" s="580"/>
      <c r="M32" s="580"/>
      <c r="N32" s="580"/>
      <c r="O32" s="580"/>
    </row>
    <row r="33" spans="1:15" ht="13.35" customHeight="1">
      <c r="A33" s="438" t="s">
        <v>601</v>
      </c>
      <c r="B33" s="507">
        <v>579830.5</v>
      </c>
      <c r="C33" s="503">
        <v>0</v>
      </c>
      <c r="D33" s="503">
        <v>2519.8880632881983</v>
      </c>
      <c r="E33" s="503">
        <v>28419.699387998484</v>
      </c>
      <c r="F33" s="503">
        <f t="shared" si="8"/>
        <v>30939.587451286683</v>
      </c>
      <c r="G33" s="503">
        <v>19813.427802338101</v>
      </c>
      <c r="H33" s="503">
        <v>1015443.7365898986</v>
      </c>
      <c r="I33" s="503">
        <f t="shared" si="9"/>
        <v>1035257.1643922367</v>
      </c>
      <c r="J33" s="316">
        <v>237413.54815647646</v>
      </c>
      <c r="K33" s="316">
        <f t="shared" si="10"/>
        <v>1883440.7999999998</v>
      </c>
      <c r="L33" s="580"/>
      <c r="M33" s="580"/>
      <c r="N33" s="580"/>
      <c r="O33" s="580"/>
    </row>
    <row r="34" spans="1:15" ht="13.35" customHeight="1">
      <c r="A34" s="424" t="s">
        <v>608</v>
      </c>
      <c r="B34" s="488">
        <v>583870</v>
      </c>
      <c r="C34" s="508">
        <v>0</v>
      </c>
      <c r="D34" s="508">
        <v>3163.0463867489202</v>
      </c>
      <c r="E34" s="508">
        <v>24095.712242465019</v>
      </c>
      <c r="F34" s="508">
        <f t="shared" si="8"/>
        <v>27258.758629213939</v>
      </c>
      <c r="G34" s="508">
        <v>20350.419995836302</v>
      </c>
      <c r="H34" s="508">
        <v>1027427.8920928462</v>
      </c>
      <c r="I34" s="508">
        <f t="shared" si="9"/>
        <v>1047778.3120886825</v>
      </c>
      <c r="J34" s="251">
        <v>238535.02928210323</v>
      </c>
      <c r="K34" s="251">
        <f t="shared" si="10"/>
        <v>1897442.0999999996</v>
      </c>
      <c r="L34" s="580"/>
      <c r="M34" s="580"/>
      <c r="N34" s="580"/>
      <c r="O34" s="580"/>
    </row>
    <row r="35" spans="1:15" ht="13.35" customHeight="1">
      <c r="A35" s="438" t="s">
        <v>609</v>
      </c>
      <c r="B35" s="507">
        <v>593688.9</v>
      </c>
      <c r="C35" s="503">
        <v>0</v>
      </c>
      <c r="D35" s="503">
        <v>3188.32598863967</v>
      </c>
      <c r="E35" s="503">
        <v>25190.762820601394</v>
      </c>
      <c r="F35" s="503">
        <f t="shared" si="8"/>
        <v>28379.088809241064</v>
      </c>
      <c r="G35" s="503">
        <v>21880.5397731099</v>
      </c>
      <c r="H35" s="503">
        <v>1036596.2447698563</v>
      </c>
      <c r="I35" s="503">
        <f t="shared" si="9"/>
        <v>1058476.7845429662</v>
      </c>
      <c r="J35" s="316">
        <v>243552.02664779278</v>
      </c>
      <c r="K35" s="316">
        <f t="shared" si="10"/>
        <v>1924096.7999999998</v>
      </c>
      <c r="L35" s="580"/>
      <c r="M35" s="580"/>
      <c r="N35" s="580"/>
      <c r="O35" s="580"/>
    </row>
    <row r="36" spans="1:15" ht="13.35" customHeight="1">
      <c r="A36" s="424" t="s">
        <v>602</v>
      </c>
      <c r="B36" s="488">
        <v>587766</v>
      </c>
      <c r="C36" s="508">
        <v>0</v>
      </c>
      <c r="D36" s="508">
        <v>3170.47563983901</v>
      </c>
      <c r="E36" s="508">
        <v>27280.342971444239</v>
      </c>
      <c r="F36" s="508">
        <f t="shared" si="8"/>
        <v>30450.818611283248</v>
      </c>
      <c r="G36" s="508">
        <v>23340.881152548798</v>
      </c>
      <c r="H36" s="508">
        <v>1058920.3345072635</v>
      </c>
      <c r="I36" s="508">
        <f t="shared" si="9"/>
        <v>1082261.2156598123</v>
      </c>
      <c r="J36" s="251">
        <v>247327.76572890449</v>
      </c>
      <c r="K36" s="251">
        <f t="shared" si="10"/>
        <v>1947805.7999999998</v>
      </c>
      <c r="L36" s="580"/>
      <c r="M36" s="580"/>
      <c r="N36" s="580"/>
      <c r="O36" s="580"/>
    </row>
    <row r="37" spans="1:15" ht="13.35" customHeight="1">
      <c r="A37" s="438" t="s">
        <v>610</v>
      </c>
      <c r="B37" s="507">
        <v>587851.19999999995</v>
      </c>
      <c r="C37" s="503">
        <v>0</v>
      </c>
      <c r="D37" s="503">
        <v>3043.2423402395702</v>
      </c>
      <c r="E37" s="503">
        <v>27246.172679182549</v>
      </c>
      <c r="F37" s="503">
        <f t="shared" si="8"/>
        <v>30289.415019422118</v>
      </c>
      <c r="G37" s="503">
        <v>24974.559916224502</v>
      </c>
      <c r="H37" s="503">
        <v>1059626.4978584691</v>
      </c>
      <c r="I37" s="503">
        <f t="shared" si="9"/>
        <v>1084601.0577746937</v>
      </c>
      <c r="J37" s="316">
        <v>250849.02720588457</v>
      </c>
      <c r="K37" s="316">
        <f t="shared" si="10"/>
        <v>1953590.7000000002</v>
      </c>
      <c r="L37" s="580"/>
      <c r="M37" s="580"/>
      <c r="N37" s="580"/>
      <c r="O37" s="580"/>
    </row>
    <row r="38" spans="1:15" ht="13.35" customHeight="1">
      <c r="A38" s="424" t="s">
        <v>611</v>
      </c>
      <c r="B38" s="488">
        <v>589677.69999999995</v>
      </c>
      <c r="C38" s="508">
        <v>0</v>
      </c>
      <c r="D38" s="508">
        <v>3051.4051474155399</v>
      </c>
      <c r="E38" s="508">
        <v>27820.023037405368</v>
      </c>
      <c r="F38" s="508">
        <f t="shared" si="8"/>
        <v>30871.428184820907</v>
      </c>
      <c r="G38" s="508">
        <v>24536.539059167899</v>
      </c>
      <c r="H38" s="508">
        <v>1069937.2003945711</v>
      </c>
      <c r="I38" s="508">
        <f t="shared" si="9"/>
        <v>1094473.739453739</v>
      </c>
      <c r="J38" s="251">
        <v>253655.03236144001</v>
      </c>
      <c r="K38" s="251">
        <f t="shared" si="10"/>
        <v>1968677.9</v>
      </c>
      <c r="L38" s="580"/>
      <c r="M38" s="580"/>
      <c r="N38" s="580"/>
      <c r="O38" s="580"/>
    </row>
    <row r="39" spans="1:15" ht="13.35" customHeight="1">
      <c r="A39" s="438" t="s">
        <v>603</v>
      </c>
      <c r="B39" s="507">
        <v>595686.29999999993</v>
      </c>
      <c r="C39" s="503">
        <v>0</v>
      </c>
      <c r="D39" s="503">
        <v>3053.2820619899603</v>
      </c>
      <c r="E39" s="503">
        <v>28677.585237845033</v>
      </c>
      <c r="F39" s="503">
        <f t="shared" si="8"/>
        <v>31730.867299834994</v>
      </c>
      <c r="G39" s="503">
        <v>24352.1328814605</v>
      </c>
      <c r="H39" s="503">
        <v>1078538.3307947272</v>
      </c>
      <c r="I39" s="503">
        <f t="shared" si="9"/>
        <v>1102890.4636761877</v>
      </c>
      <c r="J39" s="316">
        <v>257386.76902397731</v>
      </c>
      <c r="K39" s="316">
        <f t="shared" si="10"/>
        <v>1987694.4</v>
      </c>
      <c r="L39" s="580"/>
      <c r="M39" s="580"/>
      <c r="N39" s="580"/>
      <c r="O39" s="580"/>
    </row>
    <row r="40" spans="1:15" ht="13.35" customHeight="1">
      <c r="A40" s="424" t="s">
        <v>612</v>
      </c>
      <c r="B40" s="488">
        <v>615686.5</v>
      </c>
      <c r="C40" s="508">
        <v>0</v>
      </c>
      <c r="D40" s="508">
        <v>3077.0229079117303</v>
      </c>
      <c r="E40" s="508">
        <v>29180.129083903059</v>
      </c>
      <c r="F40" s="508">
        <f t="shared" si="8"/>
        <v>32257.15199181479</v>
      </c>
      <c r="G40" s="508">
        <v>24534.4800545547</v>
      </c>
      <c r="H40" s="508">
        <v>1095543.3055846377</v>
      </c>
      <c r="I40" s="508">
        <f t="shared" si="9"/>
        <v>1120077.7856391924</v>
      </c>
      <c r="J40" s="251">
        <v>260284.76236899279</v>
      </c>
      <c r="K40" s="251">
        <f t="shared" si="10"/>
        <v>2028306.2000000002</v>
      </c>
      <c r="L40" s="580"/>
      <c r="M40" s="580"/>
      <c r="N40" s="580"/>
      <c r="O40" s="580"/>
    </row>
    <row r="41" spans="1:15" ht="13.35" customHeight="1">
      <c r="A41" s="438" t="s">
        <v>613</v>
      </c>
      <c r="B41" s="507">
        <v>612970.60000000009</v>
      </c>
      <c r="C41" s="503">
        <v>0</v>
      </c>
      <c r="D41" s="503">
        <v>3083.9966111093099</v>
      </c>
      <c r="E41" s="503">
        <v>28931.488408445646</v>
      </c>
      <c r="F41" s="503">
        <f t="shared" si="8"/>
        <v>32015.485019554955</v>
      </c>
      <c r="G41" s="503">
        <v>25608.771344650399</v>
      </c>
      <c r="H41" s="503">
        <v>1112822.1413674683</v>
      </c>
      <c r="I41" s="503">
        <f t="shared" si="9"/>
        <v>1138430.9127121186</v>
      </c>
      <c r="J41" s="316">
        <v>257207.70226832642</v>
      </c>
      <c r="K41" s="316">
        <f t="shared" si="10"/>
        <v>2040624.7</v>
      </c>
      <c r="L41" s="580"/>
      <c r="M41" s="580"/>
      <c r="N41" s="580"/>
      <c r="O41" s="580"/>
    </row>
    <row r="42" spans="1:15" ht="13.35" customHeight="1">
      <c r="A42" s="424" t="s">
        <v>604</v>
      </c>
      <c r="B42" s="488">
        <v>647012.1</v>
      </c>
      <c r="C42" s="508">
        <v>0</v>
      </c>
      <c r="D42" s="508">
        <v>3617.6623075949301</v>
      </c>
      <c r="E42" s="508">
        <v>28991.292731279518</v>
      </c>
      <c r="F42" s="508">
        <f t="shared" si="8"/>
        <v>32608.955038874446</v>
      </c>
      <c r="G42" s="508">
        <v>25434.9005207714</v>
      </c>
      <c r="H42" s="508">
        <v>1133333.5170284815</v>
      </c>
      <c r="I42" s="508">
        <f t="shared" si="9"/>
        <v>1158768.417549253</v>
      </c>
      <c r="J42" s="251">
        <v>263754.42741187243</v>
      </c>
      <c r="K42" s="251">
        <f t="shared" si="10"/>
        <v>2102143.9</v>
      </c>
      <c r="L42" s="580"/>
      <c r="M42" s="580"/>
      <c r="N42" s="580"/>
      <c r="O42" s="580"/>
    </row>
    <row r="43" spans="1:15" ht="13.35" customHeight="1">
      <c r="A43" s="1553" t="s">
        <v>2481</v>
      </c>
      <c r="B43" s="507"/>
      <c r="C43" s="503"/>
      <c r="D43" s="503"/>
      <c r="E43" s="503"/>
      <c r="F43" s="503"/>
      <c r="G43" s="503"/>
      <c r="H43" s="503"/>
      <c r="I43" s="503"/>
      <c r="J43" s="316"/>
      <c r="K43" s="316"/>
      <c r="L43" s="580"/>
      <c r="M43" s="580"/>
      <c r="N43" s="580"/>
      <c r="O43" s="580"/>
    </row>
    <row r="44" spans="1:15" ht="13.35" customHeight="1">
      <c r="A44" s="424" t="s">
        <v>606</v>
      </c>
      <c r="B44" s="488">
        <v>646059.4</v>
      </c>
      <c r="C44" s="508">
        <v>0</v>
      </c>
      <c r="D44" s="508">
        <v>3788.88629554109</v>
      </c>
      <c r="E44" s="508">
        <v>28876.300235268725</v>
      </c>
      <c r="F44" s="508">
        <f t="shared" si="8"/>
        <v>32665.186530809817</v>
      </c>
      <c r="G44" s="508">
        <v>26261.094929592498</v>
      </c>
      <c r="H44" s="508">
        <v>1135904.7798506904</v>
      </c>
      <c r="I44" s="508">
        <f t="shared" si="9"/>
        <v>1162165.8747802828</v>
      </c>
      <c r="J44" s="251">
        <v>263870.33868890727</v>
      </c>
      <c r="K44" s="251">
        <f t="shared" si="10"/>
        <v>2104760.7999999998</v>
      </c>
      <c r="L44" s="580"/>
      <c r="M44" s="580"/>
      <c r="N44" s="580"/>
      <c r="O44" s="580"/>
    </row>
    <row r="45" spans="1:15" ht="13.35" customHeight="1">
      <c r="A45" s="438" t="s">
        <v>607</v>
      </c>
      <c r="B45" s="507">
        <v>652920.10000000009</v>
      </c>
      <c r="C45" s="503">
        <v>0</v>
      </c>
      <c r="D45" s="503">
        <v>3521.8105959913</v>
      </c>
      <c r="E45" s="503">
        <v>28268.649580539884</v>
      </c>
      <c r="F45" s="503">
        <f t="shared" si="8"/>
        <v>31790.460176531185</v>
      </c>
      <c r="G45" s="503">
        <v>27058.385078708099</v>
      </c>
      <c r="H45" s="503">
        <v>1145366.4886360515</v>
      </c>
      <c r="I45" s="503">
        <f t="shared" si="9"/>
        <v>1172424.8737147597</v>
      </c>
      <c r="J45" s="316">
        <v>265752.26610870915</v>
      </c>
      <c r="K45" s="316">
        <f t="shared" si="10"/>
        <v>2122887.7000000002</v>
      </c>
      <c r="L45" s="580"/>
      <c r="M45" s="580"/>
      <c r="N45" s="580"/>
      <c r="O45" s="580"/>
    </row>
    <row r="46" spans="1:15" ht="13.35" customHeight="1">
      <c r="A46" s="424" t="s">
        <v>601</v>
      </c>
      <c r="B46" s="488">
        <v>656752.89999999991</v>
      </c>
      <c r="C46" s="508">
        <v>0</v>
      </c>
      <c r="D46" s="508">
        <v>3626.6792753902901</v>
      </c>
      <c r="E46" s="508">
        <v>28062.298521447279</v>
      </c>
      <c r="F46" s="508">
        <f t="shared" si="8"/>
        <v>31688.977796837571</v>
      </c>
      <c r="G46" s="508">
        <v>26374.032877540601</v>
      </c>
      <c r="H46" s="508">
        <v>1160747.9023133027</v>
      </c>
      <c r="I46" s="508">
        <f t="shared" si="9"/>
        <v>1187121.9351908434</v>
      </c>
      <c r="J46" s="251">
        <v>267711.18701231893</v>
      </c>
      <c r="K46" s="251">
        <f t="shared" si="10"/>
        <v>2143275</v>
      </c>
      <c r="L46" s="580"/>
      <c r="M46" s="580"/>
      <c r="N46" s="580"/>
      <c r="O46" s="580"/>
    </row>
    <row r="47" spans="1:15" ht="13.35" customHeight="1" thickBot="1">
      <c r="A47" s="942" t="s">
        <v>608</v>
      </c>
      <c r="B47" s="1689">
        <v>668692.80000000005</v>
      </c>
      <c r="C47" s="1053">
        <v>0</v>
      </c>
      <c r="D47" s="1053">
        <v>3612.6439494309802</v>
      </c>
      <c r="E47" s="1053">
        <v>29272.261998138703</v>
      </c>
      <c r="F47" s="1053">
        <f t="shared" si="8"/>
        <v>32884.905947569685</v>
      </c>
      <c r="G47" s="1053">
        <v>27033.624915766901</v>
      </c>
      <c r="H47" s="1053">
        <v>1168834.2039479583</v>
      </c>
      <c r="I47" s="1053">
        <f t="shared" si="9"/>
        <v>1195867.8288637253</v>
      </c>
      <c r="J47" s="1690">
        <v>270031.66518870508</v>
      </c>
      <c r="K47" s="1690">
        <f t="shared" si="10"/>
        <v>2167477.2000000002</v>
      </c>
      <c r="L47" s="580"/>
      <c r="M47" s="580"/>
      <c r="N47" s="580"/>
      <c r="O47" s="580"/>
    </row>
    <row r="48" spans="1:15" s="526" customFormat="1">
      <c r="A48" s="581" t="s">
        <v>226</v>
      </c>
      <c r="B48" s="287" t="s">
        <v>1549</v>
      </c>
      <c r="C48" s="287"/>
      <c r="D48" s="287"/>
      <c r="E48" s="287"/>
      <c r="F48" s="287"/>
      <c r="G48" s="582" t="s">
        <v>1369</v>
      </c>
      <c r="H48" s="583"/>
      <c r="I48" s="583"/>
      <c r="J48" s="583"/>
      <c r="K48" s="583"/>
      <c r="L48" s="580"/>
      <c r="M48" s="585"/>
      <c r="N48" s="580"/>
    </row>
    <row r="49" spans="1:13" s="659" customFormat="1">
      <c r="A49" s="243"/>
      <c r="B49" s="288" t="s">
        <v>1522</v>
      </c>
      <c r="C49" s="288"/>
      <c r="D49" s="288"/>
      <c r="E49" s="1143"/>
      <c r="F49" s="1143"/>
      <c r="G49" s="1143"/>
      <c r="H49" s="1143"/>
      <c r="I49" s="1143"/>
      <c r="J49" s="1143"/>
      <c r="K49" s="1143"/>
      <c r="L49" s="580"/>
      <c r="M49" s="788"/>
    </row>
    <row r="50" spans="1:13" s="526" customFormat="1">
      <c r="A50" s="580"/>
      <c r="B50" s="580"/>
      <c r="C50" s="580"/>
      <c r="D50" s="1143"/>
      <c r="E50" s="580"/>
      <c r="F50" s="1143"/>
      <c r="G50" s="585"/>
      <c r="H50" s="1143"/>
      <c r="I50" s="1143"/>
      <c r="J50" s="1143"/>
      <c r="K50" s="1143"/>
      <c r="L50" s="580"/>
      <c r="M50" s="788"/>
    </row>
    <row r="51" spans="1:13" s="526" customFormat="1">
      <c r="A51" s="580"/>
      <c r="B51" s="580"/>
      <c r="C51" s="580"/>
      <c r="D51" s="1143"/>
      <c r="E51" s="580"/>
      <c r="F51" s="1143"/>
      <c r="G51" s="585"/>
      <c r="H51" s="1143"/>
      <c r="I51" s="1143"/>
      <c r="J51" s="1143"/>
      <c r="K51" s="1143"/>
      <c r="L51" s="580"/>
      <c r="M51" s="788"/>
    </row>
    <row r="52" spans="1:13" s="526" customFormat="1">
      <c r="A52" s="580"/>
      <c r="B52" s="580"/>
      <c r="C52" s="580"/>
      <c r="D52" s="1143"/>
      <c r="E52" s="580"/>
      <c r="F52" s="1143"/>
      <c r="G52" s="585"/>
      <c r="H52" s="1143"/>
      <c r="I52" s="1143"/>
      <c r="J52" s="1143"/>
      <c r="K52" s="1143"/>
      <c r="L52" s="580"/>
      <c r="M52" s="788"/>
    </row>
    <row r="53" spans="1:13" s="526" customFormat="1">
      <c r="A53" s="580"/>
      <c r="B53" s="580"/>
      <c r="C53" s="580"/>
      <c r="D53" s="1143"/>
      <c r="E53" s="580"/>
      <c r="F53" s="1143"/>
      <c r="G53" s="585"/>
      <c r="H53" s="1143"/>
      <c r="I53" s="1143"/>
      <c r="J53" s="1143"/>
      <c r="K53" s="1143"/>
      <c r="L53" s="580"/>
      <c r="M53" s="788"/>
    </row>
    <row r="54" spans="1:13" s="526" customFormat="1">
      <c r="A54" s="580"/>
      <c r="B54" s="580"/>
      <c r="C54" s="580"/>
      <c r="D54" s="1143"/>
      <c r="E54" s="580"/>
      <c r="F54" s="1143"/>
      <c r="G54" s="585"/>
      <c r="H54" s="1143"/>
      <c r="I54" s="1143"/>
      <c r="J54" s="1143"/>
      <c r="K54" s="1143"/>
      <c r="L54" s="580"/>
      <c r="M54" s="788"/>
    </row>
    <row r="55" spans="1:13" s="526" customFormat="1">
      <c r="A55" s="580"/>
      <c r="B55" s="580"/>
      <c r="C55" s="580"/>
      <c r="D55" s="1143"/>
      <c r="E55" s="580"/>
      <c r="F55" s="1143"/>
      <c r="G55" s="585"/>
      <c r="H55" s="1143"/>
      <c r="I55" s="1143"/>
      <c r="J55" s="1143"/>
      <c r="K55" s="1143"/>
      <c r="L55" s="580"/>
    </row>
    <row r="56" spans="1:13" s="526" customFormat="1">
      <c r="A56" s="580"/>
      <c r="B56" s="580"/>
      <c r="C56" s="580"/>
      <c r="D56" s="1143"/>
      <c r="E56" s="580"/>
      <c r="F56" s="1143"/>
      <c r="G56" s="585"/>
      <c r="H56" s="1143"/>
      <c r="I56" s="1143"/>
      <c r="J56" s="585"/>
      <c r="K56" s="1143"/>
      <c r="L56" s="580"/>
    </row>
    <row r="57" spans="1:13" s="526" customFormat="1">
      <c r="A57" s="580"/>
      <c r="B57" s="580"/>
      <c r="C57" s="580"/>
      <c r="D57" s="1143"/>
      <c r="E57" s="580"/>
      <c r="F57" s="1143"/>
      <c r="G57" s="585"/>
      <c r="H57" s="1143"/>
      <c r="I57" s="1143"/>
      <c r="J57" s="585"/>
      <c r="K57" s="1143"/>
      <c r="L57" s="580"/>
    </row>
    <row r="58" spans="1:13">
      <c r="A58" s="580"/>
      <c r="B58" s="580"/>
      <c r="C58" s="580"/>
      <c r="D58" s="585"/>
      <c r="E58" s="580"/>
      <c r="F58" s="1143"/>
      <c r="G58" s="585"/>
      <c r="H58" s="1143"/>
      <c r="I58" s="1143"/>
      <c r="J58" s="585"/>
      <c r="K58" s="1143"/>
      <c r="L58" s="580"/>
    </row>
    <row r="59" spans="1:13">
      <c r="A59" s="580"/>
      <c r="B59" s="580"/>
      <c r="C59" s="580"/>
      <c r="D59" s="585"/>
      <c r="E59" s="580"/>
      <c r="F59" s="1143"/>
      <c r="G59" s="585"/>
      <c r="H59" s="1143"/>
      <c r="I59" s="1143"/>
      <c r="J59" s="585"/>
      <c r="K59" s="1143"/>
      <c r="L59" s="580"/>
    </row>
    <row r="60" spans="1:13">
      <c r="A60" s="580"/>
      <c r="B60" s="580"/>
      <c r="C60" s="580"/>
      <c r="D60" s="585"/>
      <c r="E60" s="580"/>
      <c r="F60" s="1143"/>
      <c r="G60" s="585"/>
      <c r="H60" s="585"/>
      <c r="I60" s="1143"/>
      <c r="J60" s="585"/>
      <c r="K60" s="1143"/>
      <c r="L60" s="580"/>
    </row>
    <row r="61" spans="1:13">
      <c r="A61" s="580"/>
      <c r="B61" s="580"/>
      <c r="C61" s="580"/>
      <c r="D61" s="585"/>
      <c r="E61" s="585"/>
      <c r="F61" s="580"/>
      <c r="G61" s="585"/>
      <c r="H61" s="585"/>
      <c r="I61" s="580"/>
      <c r="J61" s="585"/>
      <c r="L61" s="585"/>
    </row>
    <row r="62" spans="1:13">
      <c r="B62" s="580"/>
      <c r="C62" s="580"/>
      <c r="D62" s="585"/>
      <c r="E62" s="585"/>
      <c r="F62" s="580"/>
      <c r="G62" s="585"/>
      <c r="H62" s="585"/>
      <c r="I62" s="580"/>
      <c r="J62" s="585"/>
      <c r="L62" s="585"/>
    </row>
    <row r="63" spans="1:13">
      <c r="B63" s="580"/>
      <c r="C63" s="580"/>
      <c r="D63" s="585"/>
      <c r="E63" s="585"/>
      <c r="G63" s="585"/>
      <c r="H63" s="585"/>
      <c r="J63" s="585"/>
      <c r="L63" s="585"/>
    </row>
    <row r="64" spans="1:13">
      <c r="B64" s="580"/>
      <c r="C64" s="580"/>
      <c r="D64" s="585"/>
      <c r="E64" s="585"/>
      <c r="G64" s="585"/>
      <c r="H64" s="585"/>
      <c r="J64" s="585"/>
      <c r="L64" s="585"/>
    </row>
    <row r="65" spans="2:12">
      <c r="B65" s="580"/>
      <c r="C65" s="585"/>
      <c r="D65" s="585"/>
      <c r="E65" s="585"/>
      <c r="G65" s="585"/>
      <c r="H65" s="585"/>
      <c r="J65" s="585"/>
      <c r="L65" s="585"/>
    </row>
    <row r="66" spans="2:12">
      <c r="B66" s="580"/>
      <c r="C66" s="585"/>
      <c r="D66" s="585"/>
      <c r="E66" s="585"/>
      <c r="G66" s="585"/>
      <c r="H66" s="585"/>
      <c r="J66" s="585"/>
      <c r="L66" s="585"/>
    </row>
    <row r="67" spans="2:12">
      <c r="B67" s="580"/>
      <c r="C67" s="585"/>
      <c r="D67" s="585"/>
      <c r="E67" s="585"/>
      <c r="G67" s="585"/>
      <c r="H67" s="585"/>
      <c r="J67" s="585"/>
      <c r="L67" s="585"/>
    </row>
    <row r="68" spans="2:12">
      <c r="B68" s="580"/>
      <c r="C68" s="585"/>
      <c r="D68" s="585"/>
      <c r="E68" s="585"/>
      <c r="G68" s="585"/>
      <c r="H68" s="585"/>
      <c r="J68" s="585"/>
      <c r="L68" s="585"/>
    </row>
    <row r="69" spans="2:12">
      <c r="B69" s="580"/>
      <c r="C69" s="585"/>
      <c r="D69" s="585"/>
      <c r="E69" s="585"/>
      <c r="G69" s="585"/>
      <c r="H69" s="585"/>
      <c r="J69" s="585"/>
    </row>
    <row r="70" spans="2:12">
      <c r="B70" s="580"/>
      <c r="C70" s="585"/>
      <c r="D70" s="585"/>
      <c r="E70" s="585"/>
      <c r="G70" s="585"/>
      <c r="H70" s="585"/>
    </row>
    <row r="71" spans="2:12">
      <c r="B71" s="580"/>
      <c r="C71" s="580"/>
      <c r="D71" s="580"/>
      <c r="E71" s="585"/>
      <c r="F71" s="580"/>
      <c r="G71" s="580"/>
      <c r="H71" s="580"/>
      <c r="I71" s="580"/>
      <c r="J71" s="580"/>
      <c r="K71" s="580"/>
    </row>
    <row r="72" spans="2:12">
      <c r="B72" s="580"/>
      <c r="C72" s="580"/>
      <c r="D72" s="580"/>
      <c r="E72" s="580"/>
      <c r="F72" s="580"/>
      <c r="G72" s="580"/>
      <c r="H72" s="580"/>
      <c r="I72" s="580"/>
      <c r="J72" s="580"/>
      <c r="K72" s="580"/>
    </row>
    <row r="73" spans="2:12">
      <c r="B73" s="580"/>
      <c r="C73" s="580"/>
      <c r="D73" s="580"/>
      <c r="E73" s="580"/>
      <c r="F73" s="580"/>
      <c r="G73" s="580"/>
      <c r="H73" s="580"/>
      <c r="I73" s="580"/>
      <c r="J73" s="580"/>
      <c r="K73" s="580"/>
    </row>
    <row r="74" spans="2:12">
      <c r="B74" s="580"/>
      <c r="C74" s="580"/>
      <c r="D74" s="580"/>
      <c r="E74" s="580"/>
      <c r="F74" s="580"/>
      <c r="G74" s="580"/>
      <c r="H74" s="580"/>
      <c r="I74" s="580"/>
      <c r="J74" s="580"/>
      <c r="K74" s="580"/>
    </row>
    <row r="75" spans="2:12">
      <c r="B75" s="580"/>
      <c r="C75" s="580"/>
      <c r="D75" s="580"/>
      <c r="E75" s="580"/>
      <c r="F75" s="580"/>
      <c r="G75" s="580"/>
      <c r="H75" s="580"/>
      <c r="I75" s="580"/>
      <c r="J75" s="580"/>
      <c r="K75" s="580"/>
    </row>
    <row r="76" spans="2:12">
      <c r="B76" s="580"/>
      <c r="C76" s="580"/>
      <c r="D76" s="580"/>
      <c r="E76" s="580"/>
      <c r="F76" s="580"/>
      <c r="G76" s="580"/>
      <c r="H76" s="580"/>
      <c r="I76" s="580"/>
      <c r="J76" s="580"/>
      <c r="K76" s="580"/>
    </row>
    <row r="77" spans="2:12">
      <c r="B77" s="580"/>
      <c r="C77" s="580"/>
      <c r="D77" s="580"/>
      <c r="E77" s="580"/>
      <c r="F77" s="580"/>
      <c r="G77" s="580"/>
      <c r="H77" s="580"/>
      <c r="I77" s="580"/>
      <c r="J77" s="580"/>
      <c r="K77" s="580"/>
    </row>
    <row r="78" spans="2:12">
      <c r="B78" s="580"/>
      <c r="C78" s="580"/>
      <c r="D78" s="580"/>
      <c r="E78" s="580"/>
      <c r="F78" s="580"/>
      <c r="G78" s="580"/>
      <c r="H78" s="580"/>
      <c r="I78" s="580"/>
      <c r="J78" s="580"/>
      <c r="K78" s="580"/>
    </row>
    <row r="79" spans="2:12">
      <c r="B79" s="580"/>
      <c r="C79" s="580"/>
      <c r="D79" s="580"/>
      <c r="E79" s="580"/>
      <c r="F79" s="580"/>
      <c r="G79" s="580"/>
      <c r="H79" s="580"/>
      <c r="I79" s="580"/>
      <c r="J79" s="580"/>
      <c r="K79" s="580"/>
    </row>
    <row r="80" spans="2:12">
      <c r="B80" s="580"/>
      <c r="C80" s="580"/>
      <c r="D80" s="580"/>
      <c r="E80" s="580"/>
      <c r="F80" s="580"/>
      <c r="G80" s="580"/>
      <c r="H80" s="580"/>
      <c r="I80" s="580"/>
      <c r="J80" s="580"/>
      <c r="K80" s="580"/>
    </row>
    <row r="81" spans="2:11">
      <c r="B81" s="580"/>
      <c r="C81" s="580"/>
      <c r="D81" s="580"/>
      <c r="E81" s="580"/>
      <c r="F81" s="580"/>
      <c r="G81" s="580"/>
      <c r="H81" s="580"/>
      <c r="I81" s="580"/>
      <c r="J81" s="580"/>
      <c r="K81" s="58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45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W59"/>
  <sheetViews>
    <sheetView zoomScale="120" zoomScaleNormal="120" workbookViewId="0">
      <pane xSplit="2" ySplit="1" topLeftCell="C29" activePane="bottomRight" state="frozen"/>
      <selection activeCell="F85" sqref="F85"/>
      <selection pane="topRight" activeCell="F85" sqref="F85"/>
      <selection pane="bottomLeft" activeCell="F85" sqref="F85"/>
      <selection pane="bottomRight" activeCell="G51" sqref="G51"/>
    </sheetView>
  </sheetViews>
  <sheetFormatPr defaultRowHeight="12.75"/>
  <cols>
    <col min="1" max="1" width="7.85546875" style="1409" customWidth="1"/>
    <col min="2" max="2" width="7.28515625" style="1409" customWidth="1"/>
    <col min="3" max="3" width="8" style="1409" customWidth="1"/>
    <col min="4" max="4" width="5.85546875" style="1409" customWidth="1"/>
    <col min="5" max="5" width="6" style="1409" customWidth="1"/>
    <col min="6" max="6" width="7.42578125" style="1409" customWidth="1"/>
    <col min="7" max="7" width="7.7109375" style="1409" customWidth="1"/>
    <col min="8" max="8" width="7.5703125" style="1409" customWidth="1"/>
    <col min="9" max="9" width="6.85546875" style="1409" customWidth="1"/>
    <col min="10" max="10" width="6.7109375" style="1409" customWidth="1"/>
    <col min="11" max="11" width="6" style="1409" customWidth="1"/>
    <col min="12" max="12" width="5.140625" style="1409" customWidth="1"/>
    <col min="13" max="13" width="4.28515625" style="1409" customWidth="1"/>
    <col min="14" max="14" width="7.5703125" style="1409" customWidth="1"/>
    <col min="15" max="15" width="6.140625" style="1409" customWidth="1"/>
    <col min="16" max="16" width="6.85546875" style="1409" customWidth="1"/>
    <col min="17" max="17" width="5.42578125" style="1409" customWidth="1"/>
    <col min="18" max="18" width="6.42578125" style="1409" customWidth="1"/>
    <col min="19" max="19" width="5.140625" style="1409" customWidth="1"/>
    <col min="20" max="20" width="6.42578125" style="1409" customWidth="1"/>
    <col min="21" max="21" width="4.5703125" style="1409" customWidth="1"/>
    <col min="22" max="22" width="7.28515625" style="1409" customWidth="1"/>
    <col min="23" max="23" width="6.28515625" style="1409" customWidth="1"/>
    <col min="24" max="24" width="5.7109375" style="1409" customWidth="1"/>
    <col min="25" max="25" width="7.5703125" style="1409" customWidth="1"/>
    <col min="26" max="26" width="8.42578125" style="1409" customWidth="1"/>
    <col min="27" max="27" width="6.85546875" style="1409" customWidth="1"/>
    <col min="28" max="28" width="5" style="1409" customWidth="1"/>
    <col min="29" max="29" width="5.140625" style="1409" customWidth="1"/>
    <col min="30" max="30" width="7.5703125" style="1409" customWidth="1"/>
    <col min="31" max="31" width="5.85546875" style="1409" customWidth="1"/>
    <col min="32" max="32" width="5.5703125" style="1409" customWidth="1"/>
    <col min="33" max="33" width="4.7109375" style="1409" customWidth="1"/>
    <col min="34" max="34" width="7.28515625" style="1409" customWidth="1"/>
    <col min="35" max="35" width="5.140625" style="1409" customWidth="1"/>
    <col min="36" max="36" width="5.85546875" style="1409" customWidth="1"/>
    <col min="37" max="37" width="4.140625" style="1409" customWidth="1"/>
    <col min="38" max="38" width="8.28515625" style="1409" customWidth="1"/>
    <col min="39" max="39" width="7.7109375" style="1409" customWidth="1"/>
    <col min="40" max="40" width="6.5703125" style="1409" customWidth="1"/>
    <col min="41" max="41" width="5.28515625" style="1409" customWidth="1"/>
    <col min="42" max="42" width="6.5703125" style="1409" customWidth="1"/>
    <col min="43" max="43" width="5.140625" style="1409" customWidth="1"/>
    <col min="44" max="45" width="6.7109375" style="1409" customWidth="1"/>
    <col min="46" max="46" width="6.85546875" style="1409" customWidth="1"/>
    <col min="47" max="47" width="6.7109375" style="1409" customWidth="1"/>
    <col min="48" max="48" width="6.42578125" style="1409" customWidth="1"/>
    <col min="49" max="49" width="5.28515625" style="1409" customWidth="1"/>
    <col min="50" max="50" width="7.140625" style="1409" customWidth="1"/>
    <col min="51" max="51" width="6.5703125" style="1409" customWidth="1"/>
    <col min="52" max="52" width="5.140625" style="1409" customWidth="1"/>
    <col min="53" max="53" width="8.140625" style="1409" customWidth="1"/>
    <col min="54" max="54" width="6.85546875" style="1409" customWidth="1"/>
    <col min="55" max="55" width="6.42578125" style="198" customWidth="1"/>
    <col min="56" max="56" width="6.85546875" style="1409" customWidth="1"/>
    <col min="57" max="57" width="6" style="1409" customWidth="1"/>
    <col min="58" max="58" width="7.28515625" style="1409" customWidth="1"/>
    <col min="59" max="59" width="6.42578125" style="1409" customWidth="1"/>
    <col min="60" max="60" width="7.28515625" style="1409" customWidth="1"/>
    <col min="61" max="61" width="6.85546875" style="1409" customWidth="1"/>
    <col min="62" max="62" width="8.140625" style="1409" customWidth="1"/>
    <col min="63" max="63" width="10.42578125" style="1409" customWidth="1"/>
    <col min="64" max="64" width="7.42578125" style="1409" customWidth="1"/>
    <col min="65" max="65" width="8.28515625" style="1409" customWidth="1"/>
    <col min="66" max="66" width="7" style="1409" customWidth="1"/>
    <col min="67" max="67" width="8.28515625" style="1409" customWidth="1"/>
    <col min="68" max="69" width="7.5703125" style="1409" customWidth="1"/>
    <col min="70" max="70" width="6.28515625" style="1409" customWidth="1"/>
    <col min="71" max="71" width="7.28515625" style="1409" customWidth="1"/>
    <col min="72" max="72" width="9.140625" style="1409"/>
    <col min="73" max="75" width="11.85546875" style="1409" bestFit="1" customWidth="1"/>
    <col min="76" max="16384" width="9.140625" style="1409"/>
  </cols>
  <sheetData>
    <row r="1" spans="1:75" ht="15.75" customHeight="1">
      <c r="A1" s="622"/>
      <c r="B1" s="622"/>
      <c r="C1" s="622"/>
      <c r="D1" s="622"/>
      <c r="E1" s="622"/>
      <c r="F1" s="1955" t="s">
        <v>2378</v>
      </c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623"/>
      <c r="S1" s="622"/>
      <c r="T1" s="622"/>
      <c r="U1" s="1956" t="s">
        <v>1738</v>
      </c>
      <c r="V1" s="1956"/>
      <c r="W1" s="1956"/>
      <c r="X1" s="1956"/>
      <c r="Y1" s="650"/>
      <c r="Z1" s="622"/>
      <c r="AA1" s="622"/>
      <c r="AB1" s="622"/>
      <c r="AC1" s="622"/>
      <c r="AD1" s="622"/>
      <c r="AE1" s="622"/>
      <c r="AF1" s="1955" t="s">
        <v>1775</v>
      </c>
      <c r="AG1" s="1955"/>
      <c r="AH1" s="1955"/>
      <c r="AI1" s="1955"/>
      <c r="AJ1" s="1955"/>
      <c r="AK1" s="1955"/>
      <c r="AL1" s="1955"/>
      <c r="AM1" s="1955"/>
      <c r="AN1" s="1955"/>
      <c r="AO1" s="1955"/>
      <c r="AP1" s="1955"/>
      <c r="AQ1" s="1955"/>
      <c r="AR1" s="622"/>
      <c r="AS1" s="1957" t="s">
        <v>2364</v>
      </c>
      <c r="AT1" s="1957"/>
      <c r="AU1" s="1957"/>
      <c r="AV1" s="1957"/>
      <c r="AW1" s="1957"/>
      <c r="AX1" s="1406"/>
      <c r="AY1" s="622"/>
      <c r="AZ1" s="622"/>
      <c r="BA1" s="622"/>
      <c r="BB1" s="622"/>
      <c r="BC1" s="623"/>
      <c r="BD1" s="623"/>
      <c r="BE1" s="1955" t="s">
        <v>2365</v>
      </c>
      <c r="BF1" s="1955"/>
      <c r="BG1" s="1955"/>
      <c r="BH1" s="1955"/>
      <c r="BI1" s="1955"/>
      <c r="BJ1" s="1955"/>
      <c r="BK1" s="1955"/>
      <c r="BL1" s="1955"/>
      <c r="BM1" s="1955"/>
      <c r="BN1" s="1955"/>
      <c r="BO1" s="623"/>
      <c r="BP1" s="1957" t="s">
        <v>2366</v>
      </c>
      <c r="BQ1" s="1957"/>
      <c r="BR1" s="1957"/>
      <c r="BS1" s="1957"/>
      <c r="BT1" s="1406"/>
      <c r="BU1" s="1406"/>
    </row>
    <row r="2" spans="1:75" ht="12.75" customHeight="1">
      <c r="A2" s="624"/>
      <c r="B2" s="624"/>
      <c r="C2" s="624"/>
      <c r="D2" s="624"/>
      <c r="E2" s="624"/>
      <c r="F2" s="624"/>
      <c r="G2" s="624"/>
      <c r="H2" s="624"/>
      <c r="I2" s="1407"/>
      <c r="J2" s="1407"/>
      <c r="K2" s="1407"/>
      <c r="L2" s="1407"/>
      <c r="M2" s="1407"/>
      <c r="N2" s="1407"/>
      <c r="O2" s="1407"/>
      <c r="P2" s="1407"/>
      <c r="Q2" s="1407"/>
      <c r="R2" s="1407"/>
      <c r="S2" s="622"/>
      <c r="T2" s="622"/>
      <c r="U2" s="2036" t="s">
        <v>1747</v>
      </c>
      <c r="V2" s="2036"/>
      <c r="W2" s="2036"/>
      <c r="X2" s="2036"/>
      <c r="Y2" s="650"/>
      <c r="Z2" s="622"/>
      <c r="AA2" s="622"/>
      <c r="AB2" s="622"/>
      <c r="AC2" s="622"/>
      <c r="AD2" s="622"/>
      <c r="AE2" s="622"/>
      <c r="AF2" s="622"/>
      <c r="AG2" s="1407"/>
      <c r="AH2" s="1407"/>
      <c r="AI2" s="1407"/>
      <c r="AJ2" s="1407"/>
      <c r="AK2" s="1407"/>
      <c r="AL2" s="1407"/>
      <c r="AM2" s="1407"/>
      <c r="AN2" s="1407"/>
      <c r="AO2" s="622"/>
      <c r="AP2" s="622"/>
      <c r="AQ2" s="622"/>
      <c r="AR2" s="622"/>
      <c r="AS2" s="2036" t="s">
        <v>2367</v>
      </c>
      <c r="AT2" s="2036"/>
      <c r="AU2" s="2036"/>
      <c r="AV2" s="2036"/>
      <c r="AW2" s="2036"/>
      <c r="AX2" s="210"/>
      <c r="AY2" s="622"/>
      <c r="AZ2" s="622"/>
      <c r="BA2" s="622"/>
      <c r="BB2" s="1407"/>
      <c r="BC2" s="1540"/>
      <c r="BD2" s="1407"/>
      <c r="BE2" s="1407"/>
      <c r="BF2" s="1407"/>
      <c r="BG2" s="1407"/>
      <c r="BH2" s="1407"/>
      <c r="BI2" s="622"/>
      <c r="BJ2" s="622"/>
      <c r="BK2" s="622"/>
      <c r="BL2" s="1407"/>
      <c r="BM2" s="1407"/>
      <c r="BN2" s="1407"/>
      <c r="BO2" s="1407"/>
      <c r="BP2" s="1407"/>
      <c r="BQ2" s="2037" t="s">
        <v>24</v>
      </c>
      <c r="BR2" s="2038"/>
      <c r="BS2" s="2038"/>
      <c r="BT2" s="210"/>
      <c r="BU2" s="210"/>
    </row>
    <row r="3" spans="1:75" ht="12.75" customHeight="1">
      <c r="A3" s="2012" t="s">
        <v>527</v>
      </c>
      <c r="B3" s="1966" t="s">
        <v>1219</v>
      </c>
      <c r="C3" s="1967"/>
      <c r="D3" s="1967"/>
      <c r="E3" s="1967"/>
      <c r="F3" s="1967"/>
      <c r="G3" s="1968"/>
      <c r="H3" s="2015" t="s">
        <v>2601</v>
      </c>
      <c r="I3" s="2016"/>
      <c r="J3" s="2021" t="s">
        <v>2368</v>
      </c>
      <c r="K3" s="2022"/>
      <c r="L3" s="2022"/>
      <c r="M3" s="2022"/>
      <c r="N3" s="2022"/>
      <c r="O3" s="2022"/>
      <c r="P3" s="2022"/>
      <c r="Q3" s="2022"/>
      <c r="R3" s="2022"/>
      <c r="S3" s="2022"/>
      <c r="T3" s="2022"/>
      <c r="U3" s="2022"/>
      <c r="V3" s="2022"/>
      <c r="W3" s="2022"/>
      <c r="X3" s="2023"/>
      <c r="Y3" s="2024" t="s">
        <v>2369</v>
      </c>
      <c r="Z3" s="1408"/>
      <c r="AA3" s="1410"/>
      <c r="AB3" s="1410"/>
      <c r="AC3" s="1410"/>
      <c r="AD3" s="1410"/>
      <c r="AE3" s="1410"/>
      <c r="AF3" s="1410"/>
      <c r="AG3" s="1410"/>
      <c r="AH3" s="1410"/>
      <c r="AI3" s="1410"/>
      <c r="AJ3" s="1410" t="s">
        <v>2370</v>
      </c>
      <c r="AK3" s="1410"/>
      <c r="AL3" s="1410" t="s">
        <v>2371</v>
      </c>
      <c r="AM3" s="1410"/>
      <c r="AN3" s="1410"/>
      <c r="AO3" s="1410"/>
      <c r="AP3" s="1410"/>
      <c r="AQ3" s="1410"/>
      <c r="AR3" s="1410"/>
      <c r="AS3" s="1410"/>
      <c r="AT3" s="1410"/>
      <c r="AU3" s="1987"/>
      <c r="AV3" s="1987"/>
      <c r="AW3" s="1988"/>
      <c r="AX3" s="1972" t="s">
        <v>527</v>
      </c>
      <c r="AY3" s="1975" t="s">
        <v>2372</v>
      </c>
      <c r="AZ3" s="1975"/>
      <c r="BA3" s="1975"/>
      <c r="BB3" s="1975"/>
      <c r="BC3" s="1966" t="s">
        <v>1298</v>
      </c>
      <c r="BD3" s="1967"/>
      <c r="BE3" s="1967"/>
      <c r="BF3" s="1968"/>
      <c r="BG3" s="1966" t="s">
        <v>1251</v>
      </c>
      <c r="BH3" s="1976"/>
      <c r="BI3" s="1977"/>
      <c r="BJ3" s="1966" t="s">
        <v>2557</v>
      </c>
      <c r="BK3" s="1967"/>
      <c r="BL3" s="1967"/>
      <c r="BM3" s="1968"/>
      <c r="BN3" s="1966" t="s">
        <v>1220</v>
      </c>
      <c r="BO3" s="1967"/>
      <c r="BP3" s="1967"/>
      <c r="BQ3" s="1968"/>
      <c r="BR3" s="1983" t="s">
        <v>2373</v>
      </c>
      <c r="BS3" s="1983" t="s">
        <v>2374</v>
      </c>
    </row>
    <row r="4" spans="1:75" ht="9.75" customHeight="1">
      <c r="A4" s="2013"/>
      <c r="B4" s="1969"/>
      <c r="C4" s="1970"/>
      <c r="D4" s="1970"/>
      <c r="E4" s="1970"/>
      <c r="F4" s="1970"/>
      <c r="G4" s="1971"/>
      <c r="H4" s="2017"/>
      <c r="I4" s="2018"/>
      <c r="J4" s="1986" t="s">
        <v>1221</v>
      </c>
      <c r="K4" s="1987"/>
      <c r="L4" s="1987"/>
      <c r="M4" s="1987"/>
      <c r="N4" s="1987"/>
      <c r="O4" s="1987"/>
      <c r="P4" s="1987"/>
      <c r="Q4" s="1987"/>
      <c r="R4" s="1987"/>
      <c r="S4" s="1987"/>
      <c r="T4" s="1987"/>
      <c r="U4" s="1987"/>
      <c r="V4" s="1987"/>
      <c r="W4" s="1987"/>
      <c r="X4" s="1988"/>
      <c r="Y4" s="2025"/>
      <c r="Z4" s="1986" t="s">
        <v>1222</v>
      </c>
      <c r="AA4" s="1987"/>
      <c r="AB4" s="1987"/>
      <c r="AC4" s="1987"/>
      <c r="AD4" s="1987"/>
      <c r="AE4" s="1987"/>
      <c r="AF4" s="1987"/>
      <c r="AG4" s="1987"/>
      <c r="AH4" s="1987"/>
      <c r="AI4" s="1987"/>
      <c r="AJ4" s="1987"/>
      <c r="AK4" s="1987"/>
      <c r="AL4" s="1987"/>
      <c r="AM4" s="1988"/>
      <c r="AN4" s="1989" t="s">
        <v>1223</v>
      </c>
      <c r="AO4" s="1990"/>
      <c r="AP4" s="1990"/>
      <c r="AQ4" s="1991"/>
      <c r="AR4" s="1995" t="s">
        <v>1224</v>
      </c>
      <c r="AS4" s="1996"/>
      <c r="AT4" s="1996"/>
      <c r="AU4" s="1996"/>
      <c r="AV4" s="1996"/>
      <c r="AW4" s="1997"/>
      <c r="AX4" s="1973"/>
      <c r="AY4" s="2001" t="s">
        <v>1224</v>
      </c>
      <c r="AZ4" s="2002"/>
      <c r="BA4" s="1966" t="s">
        <v>523</v>
      </c>
      <c r="BB4" s="1968"/>
      <c r="BC4" s="1969"/>
      <c r="BD4" s="1970"/>
      <c r="BE4" s="1970"/>
      <c r="BF4" s="1971"/>
      <c r="BG4" s="1978"/>
      <c r="BH4" s="1979"/>
      <c r="BI4" s="1980"/>
      <c r="BJ4" s="1969"/>
      <c r="BK4" s="1970"/>
      <c r="BL4" s="1970"/>
      <c r="BM4" s="1971"/>
      <c r="BN4" s="1969"/>
      <c r="BO4" s="1970"/>
      <c r="BP4" s="1970"/>
      <c r="BQ4" s="1971"/>
      <c r="BR4" s="1984"/>
      <c r="BS4" s="1984"/>
    </row>
    <row r="5" spans="1:75" ht="15" customHeight="1">
      <c r="A5" s="2013"/>
      <c r="B5" s="2015" t="s">
        <v>2602</v>
      </c>
      <c r="C5" s="2016"/>
      <c r="D5" s="2015" t="s">
        <v>1225</v>
      </c>
      <c r="E5" s="2016"/>
      <c r="F5" s="2015" t="s">
        <v>2603</v>
      </c>
      <c r="G5" s="2016"/>
      <c r="H5" s="2017"/>
      <c r="I5" s="2018"/>
      <c r="J5" s="2039" t="s">
        <v>2375</v>
      </c>
      <c r="K5" s="2022"/>
      <c r="L5" s="2022"/>
      <c r="M5" s="2023"/>
      <c r="N5" s="2027" t="s">
        <v>1226</v>
      </c>
      <c r="O5" s="2028"/>
      <c r="P5" s="2028"/>
      <c r="Q5" s="2029"/>
      <c r="R5" s="2027" t="s">
        <v>1227</v>
      </c>
      <c r="S5" s="2028"/>
      <c r="T5" s="2028"/>
      <c r="U5" s="2029"/>
      <c r="V5" s="2030" t="s">
        <v>523</v>
      </c>
      <c r="W5" s="2031"/>
      <c r="X5" s="2034" t="s">
        <v>1228</v>
      </c>
      <c r="Y5" s="2025"/>
      <c r="Z5" s="2027" t="s">
        <v>1713</v>
      </c>
      <c r="AA5" s="2028"/>
      <c r="AB5" s="2028"/>
      <c r="AC5" s="2029"/>
      <c r="AD5" s="2027" t="s">
        <v>1226</v>
      </c>
      <c r="AE5" s="2028"/>
      <c r="AF5" s="2028"/>
      <c r="AG5" s="2029"/>
      <c r="AH5" s="2027" t="s">
        <v>1229</v>
      </c>
      <c r="AI5" s="2028"/>
      <c r="AJ5" s="2028"/>
      <c r="AK5" s="2029"/>
      <c r="AL5" s="2030" t="s">
        <v>523</v>
      </c>
      <c r="AM5" s="2031"/>
      <c r="AN5" s="1992"/>
      <c r="AO5" s="1993"/>
      <c r="AP5" s="1993"/>
      <c r="AQ5" s="1994"/>
      <c r="AR5" s="1998"/>
      <c r="AS5" s="1999"/>
      <c r="AT5" s="1999"/>
      <c r="AU5" s="1999"/>
      <c r="AV5" s="1999"/>
      <c r="AW5" s="2000"/>
      <c r="AX5" s="1973"/>
      <c r="AY5" s="2003"/>
      <c r="AZ5" s="2004"/>
      <c r="BA5" s="2010"/>
      <c r="BB5" s="2011"/>
      <c r="BC5" s="1983" t="s">
        <v>1221</v>
      </c>
      <c r="BD5" s="1983" t="s">
        <v>1222</v>
      </c>
      <c r="BE5" s="1983" t="s">
        <v>1230</v>
      </c>
      <c r="BF5" s="1983" t="s">
        <v>523</v>
      </c>
      <c r="BG5" s="1962" t="s">
        <v>1231</v>
      </c>
      <c r="BH5" s="2015" t="s">
        <v>1232</v>
      </c>
      <c r="BI5" s="2016"/>
      <c r="BJ5" s="1983" t="s">
        <v>1233</v>
      </c>
      <c r="BK5" s="1958" t="s">
        <v>1234</v>
      </c>
      <c r="BL5" s="1959"/>
      <c r="BM5" s="2042" t="s">
        <v>1235</v>
      </c>
      <c r="BN5" s="2040" t="s">
        <v>1236</v>
      </c>
      <c r="BO5" s="1958" t="s">
        <v>1237</v>
      </c>
      <c r="BP5" s="1959"/>
      <c r="BQ5" s="2007" t="s">
        <v>1238</v>
      </c>
      <c r="BR5" s="1984"/>
      <c r="BS5" s="1984"/>
    </row>
    <row r="6" spans="1:75" ht="39.75" customHeight="1">
      <c r="A6" s="2013"/>
      <c r="B6" s="2019"/>
      <c r="C6" s="2020"/>
      <c r="D6" s="2019"/>
      <c r="E6" s="2020"/>
      <c r="F6" s="2019"/>
      <c r="G6" s="2020"/>
      <c r="H6" s="2019"/>
      <c r="I6" s="2020"/>
      <c r="J6" s="1964" t="s">
        <v>2376</v>
      </c>
      <c r="K6" s="1965"/>
      <c r="L6" s="1964" t="s">
        <v>1240</v>
      </c>
      <c r="M6" s="1965"/>
      <c r="N6" s="1964" t="s">
        <v>1239</v>
      </c>
      <c r="O6" s="1965"/>
      <c r="P6" s="1964" t="s">
        <v>1240</v>
      </c>
      <c r="Q6" s="1965"/>
      <c r="R6" s="1964" t="s">
        <v>1239</v>
      </c>
      <c r="S6" s="1965"/>
      <c r="T6" s="1964" t="s">
        <v>1240</v>
      </c>
      <c r="U6" s="1965"/>
      <c r="V6" s="2032"/>
      <c r="W6" s="2033"/>
      <c r="X6" s="2035"/>
      <c r="Y6" s="2025"/>
      <c r="Z6" s="1964" t="s">
        <v>1239</v>
      </c>
      <c r="AA6" s="1965"/>
      <c r="AB6" s="1964" t="s">
        <v>1240</v>
      </c>
      <c r="AC6" s="1965"/>
      <c r="AD6" s="1964" t="s">
        <v>1239</v>
      </c>
      <c r="AE6" s="1965"/>
      <c r="AF6" s="1964" t="s">
        <v>1240</v>
      </c>
      <c r="AG6" s="1965"/>
      <c r="AH6" s="1964" t="s">
        <v>1239</v>
      </c>
      <c r="AI6" s="1965"/>
      <c r="AJ6" s="1964" t="s">
        <v>1240</v>
      </c>
      <c r="AK6" s="1965"/>
      <c r="AL6" s="2032"/>
      <c r="AM6" s="2033"/>
      <c r="AN6" s="1964" t="s">
        <v>1239</v>
      </c>
      <c r="AO6" s="1965"/>
      <c r="AP6" s="1964" t="s">
        <v>1240</v>
      </c>
      <c r="AQ6" s="1965"/>
      <c r="AR6" s="2005" t="s">
        <v>1714</v>
      </c>
      <c r="AS6" s="2006"/>
      <c r="AT6" s="2005" t="s">
        <v>1241</v>
      </c>
      <c r="AU6" s="2006"/>
      <c r="AV6" s="2005" t="s">
        <v>1242</v>
      </c>
      <c r="AW6" s="2006"/>
      <c r="AX6" s="1973"/>
      <c r="AY6" s="2005" t="s">
        <v>523</v>
      </c>
      <c r="AZ6" s="2006"/>
      <c r="BA6" s="1969"/>
      <c r="BB6" s="1971"/>
      <c r="BC6" s="1985"/>
      <c r="BD6" s="1985"/>
      <c r="BE6" s="1985"/>
      <c r="BF6" s="2009"/>
      <c r="BG6" s="1963"/>
      <c r="BH6" s="2019"/>
      <c r="BI6" s="2020"/>
      <c r="BJ6" s="1985"/>
      <c r="BK6" s="1960"/>
      <c r="BL6" s="1961"/>
      <c r="BM6" s="2043"/>
      <c r="BN6" s="2041"/>
      <c r="BO6" s="1960"/>
      <c r="BP6" s="1961"/>
      <c r="BQ6" s="2008"/>
      <c r="BR6" s="1985"/>
      <c r="BS6" s="1985"/>
    </row>
    <row r="7" spans="1:75" ht="25.5" customHeight="1">
      <c r="A7" s="2013"/>
      <c r="B7" s="625" t="s">
        <v>2377</v>
      </c>
      <c r="C7" s="625" t="s">
        <v>1739</v>
      </c>
      <c r="D7" s="625" t="s">
        <v>1243</v>
      </c>
      <c r="E7" s="625" t="s">
        <v>1739</v>
      </c>
      <c r="F7" s="1352" t="s">
        <v>1243</v>
      </c>
      <c r="G7" s="1352" t="s">
        <v>1739</v>
      </c>
      <c r="H7" s="625" t="s">
        <v>1243</v>
      </c>
      <c r="I7" s="625" t="s">
        <v>1739</v>
      </c>
      <c r="J7" s="625" t="s">
        <v>1243</v>
      </c>
      <c r="K7" s="625" t="s">
        <v>1739</v>
      </c>
      <c r="L7" s="625" t="s">
        <v>1243</v>
      </c>
      <c r="M7" s="1365" t="s">
        <v>1739</v>
      </c>
      <c r="N7" s="625" t="s">
        <v>1243</v>
      </c>
      <c r="O7" s="626" t="s">
        <v>1739</v>
      </c>
      <c r="P7" s="625" t="s">
        <v>1243</v>
      </c>
      <c r="Q7" s="626" t="s">
        <v>1739</v>
      </c>
      <c r="R7" s="625" t="s">
        <v>1243</v>
      </c>
      <c r="S7" s="626" t="s">
        <v>1739</v>
      </c>
      <c r="T7" s="625" t="s">
        <v>1243</v>
      </c>
      <c r="U7" s="626" t="s">
        <v>1739</v>
      </c>
      <c r="V7" s="625" t="s">
        <v>1243</v>
      </c>
      <c r="W7" s="626" t="s">
        <v>1739</v>
      </c>
      <c r="X7" s="625" t="s">
        <v>1739</v>
      </c>
      <c r="Y7" s="2025"/>
      <c r="Z7" s="625" t="s">
        <v>1243</v>
      </c>
      <c r="AA7" s="625" t="s">
        <v>1739</v>
      </c>
      <c r="AB7" s="625" t="s">
        <v>1243</v>
      </c>
      <c r="AC7" s="625" t="s">
        <v>1739</v>
      </c>
      <c r="AD7" s="625" t="s">
        <v>1243</v>
      </c>
      <c r="AE7" s="625" t="s">
        <v>1740</v>
      </c>
      <c r="AF7" s="625" t="s">
        <v>1243</v>
      </c>
      <c r="AG7" s="625" t="s">
        <v>1739</v>
      </c>
      <c r="AH7" s="625" t="s">
        <v>1243</v>
      </c>
      <c r="AI7" s="625" t="s">
        <v>1739</v>
      </c>
      <c r="AJ7" s="625" t="s">
        <v>1243</v>
      </c>
      <c r="AK7" s="625" t="s">
        <v>1739</v>
      </c>
      <c r="AL7" s="625" t="s">
        <v>1243</v>
      </c>
      <c r="AM7" s="625" t="s">
        <v>1739</v>
      </c>
      <c r="AN7" s="625" t="s">
        <v>1243</v>
      </c>
      <c r="AO7" s="625" t="s">
        <v>1739</v>
      </c>
      <c r="AP7" s="625" t="s">
        <v>1243</v>
      </c>
      <c r="AQ7" s="625" t="s">
        <v>1739</v>
      </c>
      <c r="AR7" s="625" t="s">
        <v>1243</v>
      </c>
      <c r="AS7" s="625" t="s">
        <v>1739</v>
      </c>
      <c r="AT7" s="625" t="s">
        <v>1243</v>
      </c>
      <c r="AU7" s="625" t="s">
        <v>1739</v>
      </c>
      <c r="AV7" s="625" t="s">
        <v>1243</v>
      </c>
      <c r="AW7" s="625" t="s">
        <v>1739</v>
      </c>
      <c r="AX7" s="1973"/>
      <c r="AY7" s="625" t="s">
        <v>1243</v>
      </c>
      <c r="AZ7" s="625" t="s">
        <v>1739</v>
      </c>
      <c r="BA7" s="625" t="s">
        <v>1243</v>
      </c>
      <c r="BB7" s="625" t="s">
        <v>1739</v>
      </c>
      <c r="BC7" s="625" t="s">
        <v>1297</v>
      </c>
      <c r="BD7" s="625" t="s">
        <v>1297</v>
      </c>
      <c r="BE7" s="625" t="s">
        <v>1244</v>
      </c>
      <c r="BF7" s="625" t="s">
        <v>1244</v>
      </c>
      <c r="BG7" s="625" t="s">
        <v>1244</v>
      </c>
      <c r="BH7" s="625" t="s">
        <v>1243</v>
      </c>
      <c r="BI7" s="625" t="s">
        <v>1739</v>
      </c>
      <c r="BJ7" s="625" t="s">
        <v>1244</v>
      </c>
      <c r="BK7" s="625" t="s">
        <v>1243</v>
      </c>
      <c r="BL7" s="625" t="s">
        <v>1739</v>
      </c>
      <c r="BM7" s="625" t="s">
        <v>1244</v>
      </c>
      <c r="BN7" s="625" t="s">
        <v>1244</v>
      </c>
      <c r="BO7" s="625" t="s">
        <v>1243</v>
      </c>
      <c r="BP7" s="625" t="s">
        <v>1739</v>
      </c>
      <c r="BQ7" s="625" t="s">
        <v>1244</v>
      </c>
      <c r="BR7" s="625" t="s">
        <v>1244</v>
      </c>
      <c r="BS7" s="625" t="s">
        <v>1244</v>
      </c>
    </row>
    <row r="8" spans="1:75" ht="12" customHeight="1">
      <c r="A8" s="2014"/>
      <c r="B8" s="1981">
        <v>1</v>
      </c>
      <c r="C8" s="1982"/>
      <c r="D8" s="1981">
        <v>2</v>
      </c>
      <c r="E8" s="2044"/>
      <c r="F8" s="1981" t="s">
        <v>1245</v>
      </c>
      <c r="G8" s="1982"/>
      <c r="H8" s="1981">
        <v>4</v>
      </c>
      <c r="I8" s="1982"/>
      <c r="J8" s="1981">
        <v>5</v>
      </c>
      <c r="K8" s="1982"/>
      <c r="L8" s="1981">
        <v>6</v>
      </c>
      <c r="M8" s="1982"/>
      <c r="N8" s="1981">
        <v>7</v>
      </c>
      <c r="O8" s="1982"/>
      <c r="P8" s="1981">
        <v>8</v>
      </c>
      <c r="Q8" s="1982"/>
      <c r="R8" s="1981">
        <v>9</v>
      </c>
      <c r="S8" s="1982"/>
      <c r="T8" s="1981">
        <v>10</v>
      </c>
      <c r="U8" s="1982"/>
      <c r="V8" s="1981" t="s">
        <v>1246</v>
      </c>
      <c r="W8" s="1982"/>
      <c r="X8" s="1050">
        <v>12</v>
      </c>
      <c r="Y8" s="2026"/>
      <c r="Z8" s="1981">
        <v>13</v>
      </c>
      <c r="AA8" s="1982"/>
      <c r="AB8" s="1981">
        <v>14</v>
      </c>
      <c r="AC8" s="1982"/>
      <c r="AD8" s="1981">
        <v>15</v>
      </c>
      <c r="AE8" s="2023"/>
      <c r="AF8" s="1981">
        <v>16</v>
      </c>
      <c r="AG8" s="1982"/>
      <c r="AH8" s="1981">
        <v>17</v>
      </c>
      <c r="AI8" s="2023"/>
      <c r="AJ8" s="1981">
        <v>18</v>
      </c>
      <c r="AK8" s="1982"/>
      <c r="AL8" s="1981" t="s">
        <v>1247</v>
      </c>
      <c r="AM8" s="1982"/>
      <c r="AN8" s="1981">
        <v>20</v>
      </c>
      <c r="AO8" s="1982"/>
      <c r="AP8" s="1981">
        <v>21</v>
      </c>
      <c r="AQ8" s="1982"/>
      <c r="AR8" s="1981">
        <v>22</v>
      </c>
      <c r="AS8" s="1982"/>
      <c r="AT8" s="1981">
        <v>23</v>
      </c>
      <c r="AU8" s="1982"/>
      <c r="AV8" s="1981">
        <v>24</v>
      </c>
      <c r="AW8" s="1982"/>
      <c r="AX8" s="1974"/>
      <c r="AY8" s="2045" t="s">
        <v>1248</v>
      </c>
      <c r="AZ8" s="2023"/>
      <c r="BA8" s="2046" t="s">
        <v>1249</v>
      </c>
      <c r="BB8" s="2023"/>
      <c r="BC8" s="1050">
        <v>27</v>
      </c>
      <c r="BD8" s="1050">
        <v>28</v>
      </c>
      <c r="BE8" s="1050">
        <v>29</v>
      </c>
      <c r="BF8" s="1355" t="s">
        <v>1296</v>
      </c>
      <c r="BG8" s="1050">
        <v>31</v>
      </c>
      <c r="BH8" s="1050">
        <v>32</v>
      </c>
      <c r="BI8" s="1050">
        <v>33</v>
      </c>
      <c r="BJ8" s="1050">
        <v>34</v>
      </c>
      <c r="BK8" s="1981">
        <v>35</v>
      </c>
      <c r="BL8" s="1982"/>
      <c r="BM8" s="1050">
        <v>36</v>
      </c>
      <c r="BN8" s="1050">
        <v>37</v>
      </c>
      <c r="BO8" s="1981">
        <v>38</v>
      </c>
      <c r="BP8" s="1982"/>
      <c r="BQ8" s="1050">
        <v>39</v>
      </c>
      <c r="BR8" s="1050">
        <v>40</v>
      </c>
      <c r="BS8" s="1050">
        <v>41</v>
      </c>
    </row>
    <row r="9" spans="1:75" s="198" customFormat="1" ht="12.6" customHeight="1">
      <c r="A9" s="627" t="s">
        <v>1167</v>
      </c>
      <c r="B9" s="627">
        <v>23978480</v>
      </c>
      <c r="C9" s="913">
        <v>1464009.7289322768</v>
      </c>
      <c r="D9" s="627">
        <v>44278</v>
      </c>
      <c r="E9" s="913">
        <v>1018.6778832269999</v>
      </c>
      <c r="F9" s="627">
        <v>24022758</v>
      </c>
      <c r="G9" s="913">
        <v>1465028.3768155039</v>
      </c>
      <c r="H9" s="627">
        <v>10239509</v>
      </c>
      <c r="I9" s="913">
        <v>71466.937429648984</v>
      </c>
      <c r="J9" s="627">
        <v>998449</v>
      </c>
      <c r="K9" s="913">
        <v>646.08967006300009</v>
      </c>
      <c r="L9" s="627">
        <v>28021</v>
      </c>
      <c r="M9" s="913">
        <v>58.784323374000003</v>
      </c>
      <c r="N9" s="627">
        <v>6761512</v>
      </c>
      <c r="O9" s="913">
        <v>4060.5280064609997</v>
      </c>
      <c r="P9" s="627">
        <v>696549</v>
      </c>
      <c r="Q9" s="913">
        <v>925.00183520100018</v>
      </c>
      <c r="R9" s="627">
        <v>253116</v>
      </c>
      <c r="S9" s="913">
        <v>33.120208383000005</v>
      </c>
      <c r="T9" s="627">
        <v>100313</v>
      </c>
      <c r="U9" s="913">
        <v>148.52871070899999</v>
      </c>
      <c r="V9" s="627">
        <v>8837960</v>
      </c>
      <c r="W9" s="913">
        <v>5872.1027541909998</v>
      </c>
      <c r="X9" s="913">
        <v>2848.2799999999997</v>
      </c>
      <c r="Y9" s="627" t="s">
        <v>1167</v>
      </c>
      <c r="Z9" s="627">
        <v>109437869</v>
      </c>
      <c r="AA9" s="913">
        <v>82463.211347299992</v>
      </c>
      <c r="AB9" s="627">
        <v>32304</v>
      </c>
      <c r="AC9" s="913">
        <v>72.503609452000006</v>
      </c>
      <c r="AD9" s="627">
        <v>4471176</v>
      </c>
      <c r="AE9" s="913">
        <v>5484.155814492</v>
      </c>
      <c r="AF9" s="627">
        <v>68426</v>
      </c>
      <c r="AG9" s="913">
        <v>67.242002869999993</v>
      </c>
      <c r="AH9" s="627">
        <v>689996</v>
      </c>
      <c r="AI9" s="913">
        <v>77.175405626</v>
      </c>
      <c r="AJ9" s="627">
        <v>15022</v>
      </c>
      <c r="AK9" s="913">
        <v>17.501102213199999</v>
      </c>
      <c r="AL9" s="627">
        <v>114714793</v>
      </c>
      <c r="AM9" s="913">
        <v>88181.789374014203</v>
      </c>
      <c r="AN9" s="627">
        <v>413236</v>
      </c>
      <c r="AO9" s="913">
        <v>246.07698346200002</v>
      </c>
      <c r="AP9" s="627">
        <v>87958</v>
      </c>
      <c r="AQ9" s="913">
        <v>178.202189041</v>
      </c>
      <c r="AR9" s="627">
        <v>1230385</v>
      </c>
      <c r="AS9" s="913">
        <v>1225.122370545</v>
      </c>
      <c r="AT9" s="627">
        <v>3413293</v>
      </c>
      <c r="AU9" s="913">
        <v>2328.170729938</v>
      </c>
      <c r="AV9" s="627">
        <v>19647</v>
      </c>
      <c r="AW9" s="913">
        <v>49.56867063</v>
      </c>
      <c r="AX9" s="627" t="s">
        <v>1167</v>
      </c>
      <c r="AY9" s="627">
        <v>4663325</v>
      </c>
      <c r="AZ9" s="913">
        <v>3602.8217711130005</v>
      </c>
      <c r="BA9" s="627">
        <v>128717272</v>
      </c>
      <c r="BB9" s="913">
        <v>98075.655860283223</v>
      </c>
      <c r="BC9" s="627">
        <v>583209</v>
      </c>
      <c r="BD9" s="627">
        <v>8547688</v>
      </c>
      <c r="BE9" s="627">
        <v>113248</v>
      </c>
      <c r="BF9" s="627">
        <v>9244145</v>
      </c>
      <c r="BG9" s="627">
        <v>1460092</v>
      </c>
      <c r="BH9" s="627">
        <v>5863004</v>
      </c>
      <c r="BI9" s="913">
        <v>18357.901878275999</v>
      </c>
      <c r="BJ9" s="627">
        <v>547407</v>
      </c>
      <c r="BK9" s="627">
        <v>939607060</v>
      </c>
      <c r="BL9" s="913">
        <v>142292.75133781202</v>
      </c>
      <c r="BM9" s="627">
        <v>28625074</v>
      </c>
      <c r="BN9" s="627">
        <v>100</v>
      </c>
      <c r="BO9" s="627">
        <v>243530</v>
      </c>
      <c r="BP9" s="913">
        <v>301.16054062199998</v>
      </c>
      <c r="BQ9" s="627">
        <v>37052</v>
      </c>
      <c r="BR9" s="627">
        <v>6346</v>
      </c>
      <c r="BS9" s="627">
        <v>28587</v>
      </c>
    </row>
    <row r="10" spans="1:75" s="198" customFormat="1" ht="12.6" customHeight="1">
      <c r="A10" s="916" t="s">
        <v>1299</v>
      </c>
      <c r="B10" s="916">
        <v>22289753</v>
      </c>
      <c r="C10" s="915">
        <v>1669465.3599999999</v>
      </c>
      <c r="D10" s="916">
        <v>37182</v>
      </c>
      <c r="E10" s="915">
        <v>1056.9699999999998</v>
      </c>
      <c r="F10" s="916">
        <v>22326935</v>
      </c>
      <c r="G10" s="915">
        <v>1670522.24</v>
      </c>
      <c r="H10" s="916">
        <v>13548271</v>
      </c>
      <c r="I10" s="915">
        <v>90953.55</v>
      </c>
      <c r="J10" s="916">
        <v>1068730</v>
      </c>
      <c r="K10" s="915">
        <v>704.32</v>
      </c>
      <c r="L10" s="916">
        <v>31335</v>
      </c>
      <c r="M10" s="915">
        <v>55.879999999999995</v>
      </c>
      <c r="N10" s="916">
        <v>8541661</v>
      </c>
      <c r="O10" s="915">
        <v>4957.66</v>
      </c>
      <c r="P10" s="916">
        <v>907456</v>
      </c>
      <c r="Q10" s="915">
        <v>1110.93</v>
      </c>
      <c r="R10" s="916">
        <v>479308</v>
      </c>
      <c r="S10" s="915">
        <v>71.839999999999975</v>
      </c>
      <c r="T10" s="916">
        <v>199561</v>
      </c>
      <c r="U10" s="915">
        <v>209.04000000000002</v>
      </c>
      <c r="V10" s="916">
        <v>11228051</v>
      </c>
      <c r="W10" s="915">
        <v>7109.7800000000007</v>
      </c>
      <c r="X10" s="915">
        <v>3002.09</v>
      </c>
      <c r="Y10" s="916" t="s">
        <v>1299</v>
      </c>
      <c r="Z10" s="916">
        <v>144624702</v>
      </c>
      <c r="AA10" s="915">
        <v>103942.53</v>
      </c>
      <c r="AB10" s="916">
        <v>18111</v>
      </c>
      <c r="AC10" s="915">
        <v>61.669999999999995</v>
      </c>
      <c r="AD10" s="916">
        <v>6600050</v>
      </c>
      <c r="AE10" s="915">
        <v>6668.11</v>
      </c>
      <c r="AF10" s="916">
        <v>47953</v>
      </c>
      <c r="AG10" s="915">
        <v>71.12</v>
      </c>
      <c r="AH10" s="916">
        <v>586851</v>
      </c>
      <c r="AI10" s="915">
        <v>79.209999999999994</v>
      </c>
      <c r="AJ10" s="916">
        <v>17265</v>
      </c>
      <c r="AK10" s="915">
        <v>22</v>
      </c>
      <c r="AL10" s="916">
        <v>151894932</v>
      </c>
      <c r="AM10" s="915">
        <v>110844.63999999998</v>
      </c>
      <c r="AN10" s="916">
        <v>562137</v>
      </c>
      <c r="AO10" s="915">
        <v>359.77000000000004</v>
      </c>
      <c r="AP10" s="916">
        <v>97635</v>
      </c>
      <c r="AQ10" s="915">
        <v>111.22999999999999</v>
      </c>
      <c r="AR10" s="916">
        <v>790240</v>
      </c>
      <c r="AS10" s="915">
        <v>1179.3</v>
      </c>
      <c r="AT10" s="916">
        <v>2307859</v>
      </c>
      <c r="AU10" s="915">
        <v>2180.1</v>
      </c>
      <c r="AV10" s="916">
        <v>261323</v>
      </c>
      <c r="AW10" s="915">
        <v>71.890000000000015</v>
      </c>
      <c r="AX10" s="916" t="s">
        <v>1299</v>
      </c>
      <c r="AY10" s="916">
        <v>3359422</v>
      </c>
      <c r="AZ10" s="915">
        <v>3431.24</v>
      </c>
      <c r="BA10" s="916">
        <v>167122535</v>
      </c>
      <c r="BB10" s="915">
        <v>121795.34999999998</v>
      </c>
      <c r="BC10" s="916">
        <v>769296</v>
      </c>
      <c r="BD10" s="916">
        <v>9062049</v>
      </c>
      <c r="BE10" s="916">
        <v>160225</v>
      </c>
      <c r="BF10" s="916">
        <v>9991570</v>
      </c>
      <c r="BG10" s="916">
        <v>1436837</v>
      </c>
      <c r="BH10" s="916">
        <v>7457338</v>
      </c>
      <c r="BI10" s="915">
        <v>25524.160000000003</v>
      </c>
      <c r="BJ10" s="916">
        <v>617418</v>
      </c>
      <c r="BK10" s="916">
        <v>1354198797</v>
      </c>
      <c r="BL10" s="915">
        <v>196061.47</v>
      </c>
      <c r="BM10" s="916">
        <v>36333933</v>
      </c>
      <c r="BN10" s="916">
        <v>610</v>
      </c>
      <c r="BO10" s="916">
        <v>2115664</v>
      </c>
      <c r="BP10" s="915">
        <v>3579.19</v>
      </c>
      <c r="BQ10" s="916">
        <v>261693</v>
      </c>
      <c r="BR10" s="916">
        <v>8517</v>
      </c>
      <c r="BS10" s="916">
        <v>32270</v>
      </c>
    </row>
    <row r="11" spans="1:75" s="198" customFormat="1" ht="12.6" customHeight="1">
      <c r="A11" s="627" t="s">
        <v>1332</v>
      </c>
      <c r="B11" s="627">
        <v>22322674</v>
      </c>
      <c r="C11" s="913">
        <v>1890492.57</v>
      </c>
      <c r="D11" s="627">
        <v>28084</v>
      </c>
      <c r="E11" s="913">
        <v>1795.25</v>
      </c>
      <c r="F11" s="627">
        <v>22350758</v>
      </c>
      <c r="G11" s="913">
        <v>1892287.75</v>
      </c>
      <c r="H11" s="627">
        <v>13740301</v>
      </c>
      <c r="I11" s="913">
        <v>106392.4</v>
      </c>
      <c r="J11" s="627">
        <v>1232084</v>
      </c>
      <c r="K11" s="913">
        <v>865.73</v>
      </c>
      <c r="L11" s="627">
        <v>39679</v>
      </c>
      <c r="M11" s="913">
        <v>68.77</v>
      </c>
      <c r="N11" s="627">
        <v>10419658</v>
      </c>
      <c r="O11" s="913">
        <v>5608.25</v>
      </c>
      <c r="P11" s="627">
        <v>1315626</v>
      </c>
      <c r="Q11" s="913">
        <v>1353.7</v>
      </c>
      <c r="R11" s="627">
        <v>976634</v>
      </c>
      <c r="S11" s="913">
        <v>188.72999999999996</v>
      </c>
      <c r="T11" s="627">
        <v>363752</v>
      </c>
      <c r="U11" s="913">
        <v>353.77</v>
      </c>
      <c r="V11" s="627">
        <v>14347433</v>
      </c>
      <c r="W11" s="913">
        <v>8439.2599999999984</v>
      </c>
      <c r="X11" s="913">
        <v>3490.8100000000004</v>
      </c>
      <c r="Y11" s="627" t="s">
        <v>1332</v>
      </c>
      <c r="Z11" s="627">
        <v>146235630</v>
      </c>
      <c r="AA11" s="913">
        <v>110256.77</v>
      </c>
      <c r="AB11" s="627">
        <v>17173</v>
      </c>
      <c r="AC11" s="913">
        <v>41.2</v>
      </c>
      <c r="AD11" s="627">
        <v>7537435</v>
      </c>
      <c r="AE11" s="913">
        <v>5396.44</v>
      </c>
      <c r="AF11" s="627">
        <v>54815</v>
      </c>
      <c r="AG11" s="913">
        <v>91.14</v>
      </c>
      <c r="AH11" s="627">
        <v>861696</v>
      </c>
      <c r="AI11" s="913">
        <v>159.82999999999998</v>
      </c>
      <c r="AJ11" s="627">
        <v>20053</v>
      </c>
      <c r="AK11" s="913">
        <v>22.61</v>
      </c>
      <c r="AL11" s="627">
        <v>154726802</v>
      </c>
      <c r="AM11" s="913">
        <v>115968.20999999999</v>
      </c>
      <c r="AN11" s="627">
        <v>707730</v>
      </c>
      <c r="AO11" s="913">
        <v>484.18999999999994</v>
      </c>
      <c r="AP11" s="627">
        <v>135948</v>
      </c>
      <c r="AQ11" s="913">
        <v>200.08</v>
      </c>
      <c r="AR11" s="627">
        <v>673548</v>
      </c>
      <c r="AS11" s="913">
        <v>1013.99</v>
      </c>
      <c r="AT11" s="627">
        <v>993729</v>
      </c>
      <c r="AU11" s="913">
        <v>920.83999999999992</v>
      </c>
      <c r="AV11" s="627">
        <v>624526</v>
      </c>
      <c r="AW11" s="913">
        <v>116.24000000000001</v>
      </c>
      <c r="AX11" s="627" t="s">
        <v>1332</v>
      </c>
      <c r="AY11" s="627">
        <v>2291803</v>
      </c>
      <c r="AZ11" s="913">
        <v>2051.16</v>
      </c>
      <c r="BA11" s="627">
        <v>172160012</v>
      </c>
      <c r="BB11" s="913">
        <v>127025.1</v>
      </c>
      <c r="BC11" s="627">
        <v>936148</v>
      </c>
      <c r="BD11" s="627">
        <v>10802217</v>
      </c>
      <c r="BE11" s="627">
        <v>205285</v>
      </c>
      <c r="BF11" s="627">
        <v>11943650</v>
      </c>
      <c r="BG11" s="627">
        <v>1621377</v>
      </c>
      <c r="BH11" s="627">
        <v>7110797</v>
      </c>
      <c r="BI11" s="913">
        <v>35753.89</v>
      </c>
      <c r="BJ11" s="627">
        <v>758570</v>
      </c>
      <c r="BK11" s="627">
        <v>1663219636</v>
      </c>
      <c r="BL11" s="913">
        <v>277072.70999999996</v>
      </c>
      <c r="BM11" s="627">
        <v>53702690</v>
      </c>
      <c r="BN11" s="627">
        <v>2891</v>
      </c>
      <c r="BO11" s="627">
        <v>6773093</v>
      </c>
      <c r="BP11" s="913">
        <v>12556.86</v>
      </c>
      <c r="BQ11" s="627">
        <v>845699</v>
      </c>
      <c r="BR11" s="627">
        <v>9246</v>
      </c>
      <c r="BS11" s="627">
        <v>36288</v>
      </c>
      <c r="BT11" s="1542"/>
      <c r="BU11" s="1542"/>
      <c r="BV11" s="1542"/>
      <c r="BW11" s="1542"/>
    </row>
    <row r="12" spans="1:75" s="198" customFormat="1" ht="12.6" customHeight="1">
      <c r="A12" s="916" t="s">
        <v>1471</v>
      </c>
      <c r="B12" s="916">
        <v>22627089</v>
      </c>
      <c r="C12" s="915">
        <v>2161164.56</v>
      </c>
      <c r="D12" s="916">
        <v>23670</v>
      </c>
      <c r="E12" s="915">
        <v>927.43000000000006</v>
      </c>
      <c r="F12" s="916">
        <v>22650759</v>
      </c>
      <c r="G12" s="915">
        <v>2162091.9900000002</v>
      </c>
      <c r="H12" s="916">
        <v>17876492</v>
      </c>
      <c r="I12" s="915">
        <v>146257.59</v>
      </c>
      <c r="J12" s="916">
        <v>1561972</v>
      </c>
      <c r="K12" s="915">
        <v>1109.03</v>
      </c>
      <c r="L12" s="916">
        <v>49077</v>
      </c>
      <c r="M12" s="915">
        <v>142.41999999999999</v>
      </c>
      <c r="N12" s="916">
        <v>12465119</v>
      </c>
      <c r="O12" s="915">
        <v>6980.8300000000017</v>
      </c>
      <c r="P12" s="916">
        <v>1613052</v>
      </c>
      <c r="Q12" s="915">
        <v>1615.1100000000001</v>
      </c>
      <c r="R12" s="916">
        <v>1981491</v>
      </c>
      <c r="S12" s="915">
        <v>337.93999999999994</v>
      </c>
      <c r="T12" s="916">
        <v>595913</v>
      </c>
      <c r="U12" s="915">
        <v>598.15</v>
      </c>
      <c r="V12" s="916">
        <v>18266624</v>
      </c>
      <c r="W12" s="915">
        <v>10783.369999999999</v>
      </c>
      <c r="X12" s="915">
        <v>4257.9500000000007</v>
      </c>
      <c r="Y12" s="916" t="s">
        <v>1471</v>
      </c>
      <c r="Z12" s="916">
        <v>163642668</v>
      </c>
      <c r="AA12" s="915">
        <v>124401.26999999999</v>
      </c>
      <c r="AB12" s="916">
        <v>17071</v>
      </c>
      <c r="AC12" s="915">
        <v>44.7</v>
      </c>
      <c r="AD12" s="916">
        <v>9043546</v>
      </c>
      <c r="AE12" s="915">
        <v>5563.4999999999991</v>
      </c>
      <c r="AF12" s="916">
        <v>60230</v>
      </c>
      <c r="AG12" s="915">
        <v>113.01</v>
      </c>
      <c r="AH12" s="916">
        <v>3002978</v>
      </c>
      <c r="AI12" s="915">
        <v>307.50000000000006</v>
      </c>
      <c r="AJ12" s="916">
        <v>32101</v>
      </c>
      <c r="AK12" s="915">
        <v>36</v>
      </c>
      <c r="AL12" s="916">
        <v>175798594</v>
      </c>
      <c r="AM12" s="915">
        <v>130466.12</v>
      </c>
      <c r="AN12" s="916">
        <v>902167</v>
      </c>
      <c r="AO12" s="915">
        <v>611.38</v>
      </c>
      <c r="AP12" s="916">
        <v>328135</v>
      </c>
      <c r="AQ12" s="915">
        <v>372.05</v>
      </c>
      <c r="AR12" s="916">
        <v>468092</v>
      </c>
      <c r="AS12" s="915">
        <v>1175.83</v>
      </c>
      <c r="AT12" s="916">
        <v>1397236</v>
      </c>
      <c r="AU12" s="915">
        <v>1330.15</v>
      </c>
      <c r="AV12" s="916">
        <v>821042</v>
      </c>
      <c r="AW12" s="915">
        <v>157.22999999999999</v>
      </c>
      <c r="AX12" s="916" t="s">
        <v>1471</v>
      </c>
      <c r="AY12" s="916">
        <v>2686370</v>
      </c>
      <c r="AZ12" s="915">
        <v>2663.25</v>
      </c>
      <c r="BA12" s="916">
        <v>197921660</v>
      </c>
      <c r="BB12" s="915">
        <v>144743.41999999998</v>
      </c>
      <c r="BC12" s="916">
        <v>1000474</v>
      </c>
      <c r="BD12" s="916">
        <v>12575605</v>
      </c>
      <c r="BE12" s="916">
        <v>158526</v>
      </c>
      <c r="BF12" s="916">
        <v>13734605</v>
      </c>
      <c r="BG12" s="916">
        <v>1856866</v>
      </c>
      <c r="BH12" s="916">
        <v>8420438</v>
      </c>
      <c r="BI12" s="915">
        <v>32842.019999999997</v>
      </c>
      <c r="BJ12" s="916">
        <v>829783</v>
      </c>
      <c r="BK12" s="916">
        <v>2035798140</v>
      </c>
      <c r="BL12" s="915">
        <v>348295.24</v>
      </c>
      <c r="BM12" s="916">
        <v>61862982</v>
      </c>
      <c r="BN12" s="916">
        <v>3598</v>
      </c>
      <c r="BO12" s="916">
        <v>15412359</v>
      </c>
      <c r="BP12" s="915">
        <v>35093.81</v>
      </c>
      <c r="BQ12" s="916">
        <v>1783156</v>
      </c>
      <c r="BR12" s="916">
        <v>9747</v>
      </c>
      <c r="BS12" s="916">
        <v>41130</v>
      </c>
      <c r="BT12" s="1542"/>
      <c r="BU12" s="1542"/>
      <c r="BV12" s="1542"/>
      <c r="BW12" s="1542"/>
    </row>
    <row r="13" spans="1:75" s="198" customFormat="1" ht="12.6" customHeight="1">
      <c r="A13" s="627" t="s">
        <v>1600</v>
      </c>
      <c r="B13" s="627">
        <v>22799904</v>
      </c>
      <c r="C13" s="913">
        <v>2282770.0784365749</v>
      </c>
      <c r="D13" s="627">
        <v>146133</v>
      </c>
      <c r="E13" s="913">
        <v>6719.4699999999993</v>
      </c>
      <c r="F13" s="627">
        <v>22946037</v>
      </c>
      <c r="G13" s="913">
        <v>2289489.5484365751</v>
      </c>
      <c r="H13" s="627">
        <v>26758871</v>
      </c>
      <c r="I13" s="913">
        <v>178032.39367637</v>
      </c>
      <c r="J13" s="627">
        <v>1951880</v>
      </c>
      <c r="K13" s="913">
        <v>1313.06</v>
      </c>
      <c r="L13" s="627">
        <v>50720</v>
      </c>
      <c r="M13" s="913">
        <v>92.95999999999998</v>
      </c>
      <c r="N13" s="627">
        <v>15028508</v>
      </c>
      <c r="O13" s="913">
        <v>8290.52</v>
      </c>
      <c r="P13" s="627">
        <v>1923225</v>
      </c>
      <c r="Q13" s="913">
        <v>1702.96</v>
      </c>
      <c r="R13" s="627">
        <v>3124193</v>
      </c>
      <c r="S13" s="913">
        <v>672.61000000000013</v>
      </c>
      <c r="T13" s="627">
        <v>963802</v>
      </c>
      <c r="U13" s="913">
        <v>771.59000000000015</v>
      </c>
      <c r="V13" s="627">
        <v>23042328</v>
      </c>
      <c r="W13" s="913">
        <v>12843.560000000001</v>
      </c>
      <c r="X13" s="913">
        <v>5056.17</v>
      </c>
      <c r="Y13" s="627" t="s">
        <v>1600</v>
      </c>
      <c r="Z13" s="627">
        <v>188970118</v>
      </c>
      <c r="AA13" s="913">
        <v>148183.74999999997</v>
      </c>
      <c r="AB13" s="627">
        <v>19830</v>
      </c>
      <c r="AC13" s="913">
        <v>54.44</v>
      </c>
      <c r="AD13" s="627">
        <v>11477894</v>
      </c>
      <c r="AE13" s="913">
        <v>5802.16</v>
      </c>
      <c r="AF13" s="627">
        <v>70659</v>
      </c>
      <c r="AG13" s="913">
        <v>133.76999999999998</v>
      </c>
      <c r="AH13" s="627">
        <v>11499453</v>
      </c>
      <c r="AI13" s="913">
        <v>527.10000000000014</v>
      </c>
      <c r="AJ13" s="627">
        <v>53845</v>
      </c>
      <c r="AK13" s="913">
        <v>48.650000000000006</v>
      </c>
      <c r="AL13" s="627">
        <v>212091799</v>
      </c>
      <c r="AM13" s="913">
        <v>154749.99</v>
      </c>
      <c r="AN13" s="627">
        <v>1423955</v>
      </c>
      <c r="AO13" s="913">
        <v>932.91</v>
      </c>
      <c r="AP13" s="627">
        <v>780021</v>
      </c>
      <c r="AQ13" s="913">
        <v>279</v>
      </c>
      <c r="AR13" s="627">
        <v>712417</v>
      </c>
      <c r="AS13" s="913">
        <v>1272.06</v>
      </c>
      <c r="AT13" s="627">
        <v>1330714</v>
      </c>
      <c r="AU13" s="913">
        <v>1415.1799999999998</v>
      </c>
      <c r="AV13" s="627">
        <v>619956</v>
      </c>
      <c r="AW13" s="913">
        <v>148.99</v>
      </c>
      <c r="AX13" s="627" t="s">
        <v>1600</v>
      </c>
      <c r="AY13" s="627">
        <v>2762794</v>
      </c>
      <c r="AZ13" s="913">
        <v>2861.84</v>
      </c>
      <c r="BA13" s="627">
        <v>240003413</v>
      </c>
      <c r="BB13" s="913">
        <v>171462.15000000002</v>
      </c>
      <c r="BC13" s="627">
        <v>1394675</v>
      </c>
      <c r="BD13" s="1613">
        <v>16915478</v>
      </c>
      <c r="BE13" s="627">
        <v>320235</v>
      </c>
      <c r="BF13" s="627">
        <v>18630388</v>
      </c>
      <c r="BG13" s="627">
        <v>2251764</v>
      </c>
      <c r="BH13" s="627">
        <v>11711906</v>
      </c>
      <c r="BI13" s="913">
        <v>47615.11</v>
      </c>
      <c r="BJ13" s="627">
        <v>1024772</v>
      </c>
      <c r="BK13" s="627">
        <v>2467033312</v>
      </c>
      <c r="BL13" s="913">
        <v>402913.265935726</v>
      </c>
      <c r="BM13" s="627">
        <v>73778610</v>
      </c>
      <c r="BN13" s="627">
        <v>5462</v>
      </c>
      <c r="BO13" s="627">
        <v>32088874</v>
      </c>
      <c r="BP13" s="913">
        <v>84874.87</v>
      </c>
      <c r="BQ13" s="627">
        <v>3414601</v>
      </c>
      <c r="BR13" s="627">
        <v>10722</v>
      </c>
      <c r="BS13" s="627">
        <v>52846</v>
      </c>
      <c r="BT13" s="1409"/>
      <c r="BV13" s="1543"/>
    </row>
    <row r="14" spans="1:75" s="198" customFormat="1" ht="12.6" customHeight="1">
      <c r="A14" s="1353" t="s">
        <v>1695</v>
      </c>
      <c r="B14" s="1353">
        <v>19692996</v>
      </c>
      <c r="C14" s="1354">
        <v>2134775.6</v>
      </c>
      <c r="D14" s="1353">
        <v>202165</v>
      </c>
      <c r="E14" s="1354">
        <v>9638.827665630999</v>
      </c>
      <c r="F14" s="1353">
        <v>19895161</v>
      </c>
      <c r="G14" s="1354">
        <v>2144414.4</v>
      </c>
      <c r="H14" s="1353">
        <v>50257666</v>
      </c>
      <c r="I14" s="1354">
        <v>257440.06646475603</v>
      </c>
      <c r="J14" s="1353">
        <v>2376130</v>
      </c>
      <c r="K14" s="1354">
        <v>1571.4124550470001</v>
      </c>
      <c r="L14" s="1353">
        <v>39082</v>
      </c>
      <c r="M14" s="1354">
        <v>63.543494757600008</v>
      </c>
      <c r="N14" s="1353">
        <v>15306481</v>
      </c>
      <c r="O14" s="1354">
        <v>7966.2977085550001</v>
      </c>
      <c r="P14" s="1353">
        <v>1535082</v>
      </c>
      <c r="Q14" s="1354">
        <v>1266.0935939600001</v>
      </c>
      <c r="R14" s="1353">
        <v>4046124</v>
      </c>
      <c r="S14" s="1354">
        <v>1346.5782712749999</v>
      </c>
      <c r="T14" s="1353">
        <v>1202470</v>
      </c>
      <c r="U14" s="1354">
        <v>437.25777197175</v>
      </c>
      <c r="V14" s="1353">
        <v>24505369</v>
      </c>
      <c r="W14" s="1354">
        <v>12651.183295566349</v>
      </c>
      <c r="X14" s="1354">
        <v>5231.1335752910009</v>
      </c>
      <c r="Y14" s="1353" t="s">
        <v>1695</v>
      </c>
      <c r="Z14" s="1353">
        <v>193762532</v>
      </c>
      <c r="AA14" s="1354">
        <v>156878.86528764101</v>
      </c>
      <c r="AB14" s="1353">
        <v>21928</v>
      </c>
      <c r="AC14" s="1354">
        <v>55.000389470150004</v>
      </c>
      <c r="AD14" s="1353">
        <v>10367099</v>
      </c>
      <c r="AE14" s="1354">
        <v>5107.0373490185002</v>
      </c>
      <c r="AF14" s="1353">
        <v>89133</v>
      </c>
      <c r="AG14" s="1354">
        <v>92.192790867699998</v>
      </c>
      <c r="AH14" s="1353">
        <v>9820620</v>
      </c>
      <c r="AI14" s="1354">
        <v>1112.1988214419998</v>
      </c>
      <c r="AJ14" s="1353">
        <v>112794</v>
      </c>
      <c r="AK14" s="1354">
        <v>49.724057373549989</v>
      </c>
      <c r="AL14" s="1353">
        <v>214174106</v>
      </c>
      <c r="AM14" s="1354">
        <v>163295.01869581288</v>
      </c>
      <c r="AN14" s="1353">
        <v>1952354</v>
      </c>
      <c r="AO14" s="1354">
        <v>1329.0257139841999</v>
      </c>
      <c r="AP14" s="1353">
        <v>1275782</v>
      </c>
      <c r="AQ14" s="1354">
        <v>295.33457085704998</v>
      </c>
      <c r="AR14" s="1353">
        <v>747458</v>
      </c>
      <c r="AS14" s="1354">
        <v>904.85434712599999</v>
      </c>
      <c r="AT14" s="1353">
        <v>897425</v>
      </c>
      <c r="AU14" s="1354">
        <v>890.52063242899999</v>
      </c>
      <c r="AV14" s="1353">
        <v>330007</v>
      </c>
      <c r="AW14" s="1354">
        <v>104.929424063</v>
      </c>
      <c r="AX14" s="1353" t="s">
        <v>1695</v>
      </c>
      <c r="AY14" s="1353">
        <v>1974890</v>
      </c>
      <c r="AZ14" s="1354">
        <v>1900.3044036180002</v>
      </c>
      <c r="BA14" s="1353">
        <v>243882501</v>
      </c>
      <c r="BB14" s="1354">
        <v>179470.86667983848</v>
      </c>
      <c r="BC14" s="1353">
        <v>1560459</v>
      </c>
      <c r="BD14" s="1546">
        <v>19725783</v>
      </c>
      <c r="BE14" s="1353">
        <v>586230</v>
      </c>
      <c r="BF14" s="1353">
        <v>21872472</v>
      </c>
      <c r="BG14" s="1353">
        <v>2742241</v>
      </c>
      <c r="BH14" s="1353">
        <v>19897516</v>
      </c>
      <c r="BI14" s="1354">
        <v>71561.035925468008</v>
      </c>
      <c r="BJ14" s="1541">
        <v>1160121</v>
      </c>
      <c r="BK14" s="1353">
        <v>2859543446</v>
      </c>
      <c r="BL14" s="1354">
        <v>489558.87528139201</v>
      </c>
      <c r="BM14" s="1353">
        <v>107475632</v>
      </c>
      <c r="BN14" s="1353">
        <v>8812</v>
      </c>
      <c r="BO14" s="1353">
        <v>66184321</v>
      </c>
      <c r="BP14" s="1354">
        <v>191433.76619025745</v>
      </c>
      <c r="BQ14" s="1353">
        <v>7357471</v>
      </c>
      <c r="BR14" s="1353">
        <v>11047</v>
      </c>
      <c r="BS14" s="1353">
        <v>65946</v>
      </c>
      <c r="BT14" s="1409"/>
      <c r="BU14" s="1543"/>
      <c r="BV14" s="1542"/>
    </row>
    <row r="15" spans="1:75" s="198" customFormat="1" ht="12.6" customHeight="1">
      <c r="A15" s="628" t="s">
        <v>1764</v>
      </c>
      <c r="B15" s="628">
        <f>B16+B17+B18+B19+B20+B21+B22+B23+B24+B25+B26+B27</f>
        <v>20659521</v>
      </c>
      <c r="C15" s="1271">
        <f t="shared" ref="C15:BL15" si="0">C16+C17+C18+C19+C20+C21+C22+C23+C24+C25+C26+C27</f>
        <v>2423173.8888500961</v>
      </c>
      <c r="D15" s="628">
        <f>D16+D17+D18+D19+D20+D21+D22+D23+D24+D25+D26+D27</f>
        <v>439633</v>
      </c>
      <c r="E15" s="1271">
        <f t="shared" si="0"/>
        <v>10717.059649764</v>
      </c>
      <c r="F15" s="1270">
        <f t="shared" si="0"/>
        <v>21099154</v>
      </c>
      <c r="G15" s="1271">
        <f t="shared" si="0"/>
        <v>2433890.9484998598</v>
      </c>
      <c r="H15" s="1645">
        <f t="shared" si="0"/>
        <v>133383702</v>
      </c>
      <c r="I15" s="1271">
        <f t="shared" si="0"/>
        <v>424084.19240942295</v>
      </c>
      <c r="J15" s="628">
        <f t="shared" si="0"/>
        <v>3107852</v>
      </c>
      <c r="K15" s="1271">
        <f t="shared" si="0"/>
        <v>3126.5799166269994</v>
      </c>
      <c r="L15" s="628">
        <f t="shared" si="0"/>
        <v>14382</v>
      </c>
      <c r="M15" s="1271">
        <f t="shared" si="0"/>
        <v>29.033245158550002</v>
      </c>
      <c r="N15" s="628">
        <f t="shared" si="0"/>
        <v>16955039</v>
      </c>
      <c r="O15" s="1271">
        <f t="shared" si="0"/>
        <v>10577.675231101</v>
      </c>
      <c r="P15" s="628">
        <f t="shared" si="0"/>
        <v>714030</v>
      </c>
      <c r="Q15" s="1271">
        <f t="shared" si="0"/>
        <v>477.35958799905001</v>
      </c>
      <c r="R15" s="628">
        <f t="shared" si="0"/>
        <v>7411758</v>
      </c>
      <c r="S15" s="1271">
        <f t="shared" si="0"/>
        <v>3820.1791295130001</v>
      </c>
      <c r="T15" s="628">
        <f t="shared" si="0"/>
        <v>1114214</v>
      </c>
      <c r="U15" s="1271">
        <f t="shared" si="0"/>
        <v>419.69825229380001</v>
      </c>
      <c r="V15" s="628">
        <f t="shared" si="0"/>
        <v>29317275</v>
      </c>
      <c r="W15" s="1271">
        <f t="shared" si="0"/>
        <v>18450.525362692402</v>
      </c>
      <c r="X15" s="1271">
        <f>X27</f>
        <v>6452.2631663700004</v>
      </c>
      <c r="Y15" s="628" t="s">
        <v>1764</v>
      </c>
      <c r="Z15" s="628">
        <f t="shared" si="0"/>
        <v>241633196</v>
      </c>
      <c r="AA15" s="1271">
        <f t="shared" si="0"/>
        <v>212200.39009012704</v>
      </c>
      <c r="AB15" s="628">
        <f t="shared" si="0"/>
        <v>13230</v>
      </c>
      <c r="AC15" s="1271">
        <f t="shared" si="0"/>
        <v>51.706051254700007</v>
      </c>
      <c r="AD15" s="628">
        <f t="shared" si="0"/>
        <v>15692084</v>
      </c>
      <c r="AE15" s="1271">
        <f t="shared" si="0"/>
        <v>6093.4694801100004</v>
      </c>
      <c r="AF15" s="628">
        <f t="shared" si="0"/>
        <v>84064</v>
      </c>
      <c r="AG15" s="1271">
        <f t="shared" si="0"/>
        <v>44.073489145549999</v>
      </c>
      <c r="AH15" s="628">
        <f t="shared" si="0"/>
        <v>15493699</v>
      </c>
      <c r="AI15" s="1271">
        <f t="shared" si="0"/>
        <v>4069.9201925638004</v>
      </c>
      <c r="AJ15" s="628">
        <f t="shared" si="0"/>
        <v>234778</v>
      </c>
      <c r="AK15" s="1271">
        <f t="shared" si="0"/>
        <v>67.917196810749999</v>
      </c>
      <c r="AL15" s="628">
        <f t="shared" si="0"/>
        <v>273151051</v>
      </c>
      <c r="AM15" s="1271">
        <f t="shared" si="0"/>
        <v>222527.47650001181</v>
      </c>
      <c r="AN15" s="628">
        <f t="shared" si="0"/>
        <v>2722079</v>
      </c>
      <c r="AO15" s="1271">
        <f t="shared" si="0"/>
        <v>1828.257555976</v>
      </c>
      <c r="AP15" s="628">
        <f t="shared" si="0"/>
        <v>1271573</v>
      </c>
      <c r="AQ15" s="1271">
        <f t="shared" si="0"/>
        <v>223.65855985310003</v>
      </c>
      <c r="AR15" s="628">
        <f t="shared" si="0"/>
        <v>817466</v>
      </c>
      <c r="AS15" s="1271">
        <f t="shared" si="0"/>
        <v>972.30655500199998</v>
      </c>
      <c r="AT15" s="628">
        <f t="shared" si="0"/>
        <v>823656</v>
      </c>
      <c r="AU15" s="1271">
        <f t="shared" si="0"/>
        <v>612.35550458149999</v>
      </c>
      <c r="AV15" s="628">
        <f t="shared" si="0"/>
        <v>472592</v>
      </c>
      <c r="AW15" s="1271">
        <f t="shared" si="0"/>
        <v>123.242801439</v>
      </c>
      <c r="AX15" s="628" t="s">
        <v>1764</v>
      </c>
      <c r="AY15" s="628">
        <f t="shared" si="0"/>
        <v>2113714</v>
      </c>
      <c r="AZ15" s="1271">
        <f t="shared" si="0"/>
        <v>1707.9048610225002</v>
      </c>
      <c r="BA15" s="628">
        <f t="shared" si="0"/>
        <v>308575692</v>
      </c>
      <c r="BB15" s="1271">
        <f>BB16+BB17+BB18+BB19+BB20+BB21+BB22+BB23+BB24+BB25+BB26+BB27</f>
        <v>244737.8228395558</v>
      </c>
      <c r="BC15" s="628">
        <f>BC27</f>
        <v>1734418</v>
      </c>
      <c r="BD15" s="1545">
        <f t="shared" ref="BD15:BG15" si="1">BD27</f>
        <v>23363702</v>
      </c>
      <c r="BE15" s="628">
        <f t="shared" si="1"/>
        <v>934250</v>
      </c>
      <c r="BF15" s="628">
        <f t="shared" si="1"/>
        <v>26032370</v>
      </c>
      <c r="BG15" s="628">
        <f t="shared" si="1"/>
        <v>3638433</v>
      </c>
      <c r="BH15" s="628">
        <f t="shared" si="0"/>
        <v>28762491</v>
      </c>
      <c r="BI15" s="1271">
        <f t="shared" si="0"/>
        <v>101060.36294114799</v>
      </c>
      <c r="BJ15" s="628">
        <f>BJ27</f>
        <v>1377616</v>
      </c>
      <c r="BK15" s="628">
        <f t="shared" si="0"/>
        <v>3892218366</v>
      </c>
      <c r="BL15" s="1271">
        <f t="shared" si="0"/>
        <v>759556.04742055829</v>
      </c>
      <c r="BM15" s="628">
        <f>BM27</f>
        <v>152462267</v>
      </c>
      <c r="BN15" s="628">
        <f>BN27</f>
        <v>12930</v>
      </c>
      <c r="BO15" s="628">
        <f t="shared" ref="BO15:BP15" si="2">BO16+BO17+BO18+BO19+BO20+BO21+BO22+BO23+BO24+BO25+BO26+BO27</f>
        <v>115849678</v>
      </c>
      <c r="BP15" s="1271">
        <f t="shared" si="2"/>
        <v>394068.63955505099</v>
      </c>
      <c r="BQ15" s="628">
        <f>BQ27</f>
        <v>12202370</v>
      </c>
      <c r="BR15" s="628">
        <f>BR27</f>
        <v>12337</v>
      </c>
      <c r="BS15" s="628">
        <f>BS27</f>
        <v>82098</v>
      </c>
      <c r="BT15" s="1409"/>
    </row>
    <row r="16" spans="1:75" s="198" customFormat="1" ht="12.6" customHeight="1">
      <c r="A16" s="916" t="s">
        <v>606</v>
      </c>
      <c r="B16" s="916">
        <v>1792789</v>
      </c>
      <c r="C16" s="915">
        <v>208520.75498059497</v>
      </c>
      <c r="D16" s="916">
        <v>23365</v>
      </c>
      <c r="E16" s="915">
        <v>946.80334653700015</v>
      </c>
      <c r="F16" s="914">
        <v>1816154</v>
      </c>
      <c r="G16" s="915">
        <v>209467.55832713196</v>
      </c>
      <c r="H16" s="916">
        <v>9553153</v>
      </c>
      <c r="I16" s="915">
        <v>31872.413879079002</v>
      </c>
      <c r="J16" s="916">
        <v>157274</v>
      </c>
      <c r="K16" s="915">
        <v>132.34804609600002</v>
      </c>
      <c r="L16" s="916">
        <v>1064</v>
      </c>
      <c r="M16" s="915">
        <v>2.1662194179499998</v>
      </c>
      <c r="N16" s="916">
        <v>1091185</v>
      </c>
      <c r="O16" s="915">
        <v>818.01771451599984</v>
      </c>
      <c r="P16" s="916">
        <v>41087</v>
      </c>
      <c r="Q16" s="915">
        <v>19.809321627299997</v>
      </c>
      <c r="R16" s="916">
        <v>549495</v>
      </c>
      <c r="S16" s="915">
        <v>255.04270412599999</v>
      </c>
      <c r="T16" s="916">
        <v>71068</v>
      </c>
      <c r="U16" s="915">
        <v>24.99104407095</v>
      </c>
      <c r="V16" s="916">
        <v>1911173</v>
      </c>
      <c r="W16" s="915">
        <v>1252.3750498541999</v>
      </c>
      <c r="X16" s="915">
        <v>5318.0093643679993</v>
      </c>
      <c r="Y16" s="916" t="s">
        <v>606</v>
      </c>
      <c r="Z16" s="916">
        <v>18804525</v>
      </c>
      <c r="AA16" s="915">
        <v>17253.408423638997</v>
      </c>
      <c r="AB16" s="916">
        <v>901</v>
      </c>
      <c r="AC16" s="915">
        <v>2.5440419250500002</v>
      </c>
      <c r="AD16" s="916">
        <v>1085713</v>
      </c>
      <c r="AE16" s="915">
        <v>526.57921172400017</v>
      </c>
      <c r="AF16" s="916">
        <v>3485</v>
      </c>
      <c r="AG16" s="915">
        <v>1.9540727771999999</v>
      </c>
      <c r="AH16" s="916">
        <v>1289908</v>
      </c>
      <c r="AI16" s="915">
        <v>336.234061075</v>
      </c>
      <c r="AJ16" s="916">
        <v>9772</v>
      </c>
      <c r="AK16" s="915">
        <v>2.8501941119999996</v>
      </c>
      <c r="AL16" s="916">
        <v>21194304</v>
      </c>
      <c r="AM16" s="915">
        <v>18123.570005252252</v>
      </c>
      <c r="AN16" s="916">
        <v>268110</v>
      </c>
      <c r="AO16" s="915">
        <v>187.54458199599992</v>
      </c>
      <c r="AP16" s="916">
        <v>63742</v>
      </c>
      <c r="AQ16" s="915">
        <v>11.567521420249999</v>
      </c>
      <c r="AR16" s="916">
        <v>57638</v>
      </c>
      <c r="AS16" s="915">
        <v>76.441633840000009</v>
      </c>
      <c r="AT16" s="916">
        <v>43128</v>
      </c>
      <c r="AU16" s="915">
        <v>32.216417915000001</v>
      </c>
      <c r="AV16" s="916">
        <v>31643</v>
      </c>
      <c r="AW16" s="915">
        <v>7.151797256</v>
      </c>
      <c r="AX16" s="916" t="s">
        <v>606</v>
      </c>
      <c r="AY16" s="916">
        <v>132409</v>
      </c>
      <c r="AZ16" s="915">
        <v>115.809849011</v>
      </c>
      <c r="BA16" s="916">
        <v>23569738</v>
      </c>
      <c r="BB16" s="915">
        <v>19690.8670075337</v>
      </c>
      <c r="BC16" s="916">
        <v>1564039</v>
      </c>
      <c r="BD16" s="916">
        <v>19972790</v>
      </c>
      <c r="BE16" s="916">
        <v>589785</v>
      </c>
      <c r="BF16" s="916">
        <v>22126614</v>
      </c>
      <c r="BG16" s="916">
        <v>2841714</v>
      </c>
      <c r="BH16" s="916">
        <v>2264927</v>
      </c>
      <c r="BI16" s="915">
        <v>6254.9433809349994</v>
      </c>
      <c r="BJ16" s="916">
        <v>1169791</v>
      </c>
      <c r="BK16" s="916">
        <v>319278197</v>
      </c>
      <c r="BL16" s="915">
        <v>65278.887408171009</v>
      </c>
      <c r="BM16" s="916">
        <v>112169795</v>
      </c>
      <c r="BN16" s="916">
        <v>9180</v>
      </c>
      <c r="BO16" s="916">
        <v>7661508</v>
      </c>
      <c r="BP16" s="915">
        <v>28454.138351717997</v>
      </c>
      <c r="BQ16" s="916">
        <v>7686000</v>
      </c>
      <c r="BR16" s="916">
        <v>11106</v>
      </c>
      <c r="BS16" s="916">
        <v>65683</v>
      </c>
      <c r="BT16" s="1409"/>
    </row>
    <row r="17" spans="1:73" s="198" customFormat="1" ht="12.6" customHeight="1">
      <c r="A17" s="627" t="s">
        <v>607</v>
      </c>
      <c r="B17" s="627">
        <v>1305782</v>
      </c>
      <c r="C17" s="913">
        <v>161219.78375747195</v>
      </c>
      <c r="D17" s="627">
        <v>28540</v>
      </c>
      <c r="E17" s="913">
        <v>664.75811544400005</v>
      </c>
      <c r="F17" s="912">
        <v>1334322</v>
      </c>
      <c r="G17" s="913">
        <v>161884.54187291596</v>
      </c>
      <c r="H17" s="627">
        <v>4310438</v>
      </c>
      <c r="I17" s="913">
        <v>24335.795845624994</v>
      </c>
      <c r="J17" s="627">
        <v>165162</v>
      </c>
      <c r="K17" s="913">
        <v>605.26816944199982</v>
      </c>
      <c r="L17" s="627">
        <v>1139</v>
      </c>
      <c r="M17" s="913">
        <v>2.3721461166499997</v>
      </c>
      <c r="N17" s="627">
        <v>1104989</v>
      </c>
      <c r="O17" s="913">
        <v>698.84947389499996</v>
      </c>
      <c r="P17" s="627">
        <v>46389</v>
      </c>
      <c r="Q17" s="913">
        <v>24.455569326600003</v>
      </c>
      <c r="R17" s="627">
        <v>490579</v>
      </c>
      <c r="S17" s="913">
        <v>194.20171004099998</v>
      </c>
      <c r="T17" s="627">
        <v>73849</v>
      </c>
      <c r="U17" s="913">
        <v>26.748840625099994</v>
      </c>
      <c r="V17" s="627">
        <v>1882107</v>
      </c>
      <c r="W17" s="913">
        <v>1551.8959094463498</v>
      </c>
      <c r="X17" s="913">
        <v>5419.8772305920011</v>
      </c>
      <c r="Y17" s="627" t="s">
        <v>607</v>
      </c>
      <c r="Z17" s="627">
        <v>15028090</v>
      </c>
      <c r="AA17" s="913">
        <v>12530.226832798997</v>
      </c>
      <c r="AB17" s="627">
        <v>887</v>
      </c>
      <c r="AC17" s="913">
        <v>2.6580968739999999</v>
      </c>
      <c r="AD17" s="627">
        <v>994290</v>
      </c>
      <c r="AE17" s="913">
        <v>416.92138413700008</v>
      </c>
      <c r="AF17" s="627">
        <v>3922</v>
      </c>
      <c r="AG17" s="913">
        <v>2.1960615039999998</v>
      </c>
      <c r="AH17" s="627">
        <v>1253697</v>
      </c>
      <c r="AI17" s="913">
        <v>246.71132085100004</v>
      </c>
      <c r="AJ17" s="627">
        <v>9243</v>
      </c>
      <c r="AK17" s="913">
        <v>3.2853108614999997</v>
      </c>
      <c r="AL17" s="627">
        <v>17290129</v>
      </c>
      <c r="AM17" s="913">
        <v>13201.999007026498</v>
      </c>
      <c r="AN17" s="627">
        <v>167553</v>
      </c>
      <c r="AO17" s="913">
        <v>97.938782958999994</v>
      </c>
      <c r="AP17" s="627">
        <v>60496</v>
      </c>
      <c r="AQ17" s="913">
        <v>10.315596612499998</v>
      </c>
      <c r="AR17" s="627">
        <v>52058</v>
      </c>
      <c r="AS17" s="913">
        <v>61.478984913000012</v>
      </c>
      <c r="AT17" s="627">
        <v>41833</v>
      </c>
      <c r="AU17" s="913">
        <v>29.587424599000006</v>
      </c>
      <c r="AV17" s="627">
        <v>38589</v>
      </c>
      <c r="AW17" s="913">
        <v>7.3770681319999998</v>
      </c>
      <c r="AX17" s="627" t="s">
        <v>607</v>
      </c>
      <c r="AY17" s="627">
        <v>132480</v>
      </c>
      <c r="AZ17" s="913">
        <v>98.443477644000026</v>
      </c>
      <c r="BA17" s="627">
        <v>19532765</v>
      </c>
      <c r="BB17" s="913">
        <v>14960.592773688346</v>
      </c>
      <c r="BC17" s="627">
        <v>1585038</v>
      </c>
      <c r="BD17" s="627">
        <v>19994649</v>
      </c>
      <c r="BE17" s="627">
        <v>593825</v>
      </c>
      <c r="BF17" s="627">
        <v>22173512</v>
      </c>
      <c r="BG17" s="627">
        <v>2920933</v>
      </c>
      <c r="BH17" s="627">
        <v>2028916</v>
      </c>
      <c r="BI17" s="913">
        <v>6800.0551343920015</v>
      </c>
      <c r="BJ17" s="627">
        <v>1178572</v>
      </c>
      <c r="BK17" s="627">
        <v>278976621</v>
      </c>
      <c r="BL17" s="913">
        <v>43116.193847332004</v>
      </c>
      <c r="BM17" s="627">
        <v>114485746</v>
      </c>
      <c r="BN17" s="627">
        <v>9627</v>
      </c>
      <c r="BO17" s="627">
        <v>6353480</v>
      </c>
      <c r="BP17" s="913">
        <v>24403.434161475998</v>
      </c>
      <c r="BQ17" s="627">
        <v>7919440</v>
      </c>
      <c r="BR17" s="627">
        <v>11206</v>
      </c>
      <c r="BS17" s="627">
        <v>66297</v>
      </c>
      <c r="BT17" s="1409"/>
    </row>
    <row r="18" spans="1:73" s="198" customFormat="1" ht="12.6" customHeight="1">
      <c r="A18" s="916" t="s">
        <v>601</v>
      </c>
      <c r="B18" s="916">
        <v>1756677</v>
      </c>
      <c r="C18" s="915">
        <v>196284.94817137503</v>
      </c>
      <c r="D18" s="916">
        <v>17575</v>
      </c>
      <c r="E18" s="915">
        <v>829.62791622899999</v>
      </c>
      <c r="F18" s="914">
        <v>1774252</v>
      </c>
      <c r="G18" s="915">
        <v>197114.57608760401</v>
      </c>
      <c r="H18" s="916">
        <v>4647587</v>
      </c>
      <c r="I18" s="915">
        <v>28774.225708264003</v>
      </c>
      <c r="J18" s="916">
        <v>192429</v>
      </c>
      <c r="K18" s="915">
        <v>153.60580108799996</v>
      </c>
      <c r="L18" s="916">
        <v>1059</v>
      </c>
      <c r="M18" s="915">
        <v>2.1477818889</v>
      </c>
      <c r="N18" s="916">
        <v>1280960</v>
      </c>
      <c r="O18" s="915">
        <v>812.32593146199997</v>
      </c>
      <c r="P18" s="916">
        <v>50566</v>
      </c>
      <c r="Q18" s="915">
        <v>33.538907882249994</v>
      </c>
      <c r="R18" s="916">
        <v>518849</v>
      </c>
      <c r="S18" s="915">
        <v>188.12232971099996</v>
      </c>
      <c r="T18" s="916">
        <v>75397</v>
      </c>
      <c r="U18" s="915">
        <v>30.470471131000004</v>
      </c>
      <c r="V18" s="916">
        <v>2119260</v>
      </c>
      <c r="W18" s="915">
        <v>1220.21122316315</v>
      </c>
      <c r="X18" s="915">
        <v>5541.9510129200007</v>
      </c>
      <c r="Y18" s="916" t="s">
        <v>601</v>
      </c>
      <c r="Z18" s="916">
        <v>16874778</v>
      </c>
      <c r="AA18" s="915">
        <v>14582.651697324</v>
      </c>
      <c r="AB18" s="916">
        <v>987</v>
      </c>
      <c r="AC18" s="915">
        <v>4.8449818371499997</v>
      </c>
      <c r="AD18" s="916">
        <v>1150797</v>
      </c>
      <c r="AE18" s="915">
        <v>452.36794161199992</v>
      </c>
      <c r="AF18" s="916">
        <v>3671</v>
      </c>
      <c r="AG18" s="915">
        <v>2.1959837373999997</v>
      </c>
      <c r="AH18" s="916">
        <v>1125685</v>
      </c>
      <c r="AI18" s="915">
        <v>165.37497586299997</v>
      </c>
      <c r="AJ18" s="916">
        <v>11308</v>
      </c>
      <c r="AK18" s="915">
        <v>3.6855525890000003</v>
      </c>
      <c r="AL18" s="916">
        <v>19167226</v>
      </c>
      <c r="AM18" s="915">
        <v>15211.121132962549</v>
      </c>
      <c r="AN18" s="916">
        <v>203300</v>
      </c>
      <c r="AO18" s="915">
        <v>127.72137318099995</v>
      </c>
      <c r="AP18" s="916">
        <v>75662</v>
      </c>
      <c r="AQ18" s="915">
        <v>13.699062046950003</v>
      </c>
      <c r="AR18" s="916">
        <v>51814</v>
      </c>
      <c r="AS18" s="915">
        <v>62.417299622000016</v>
      </c>
      <c r="AT18" s="916">
        <v>52147</v>
      </c>
      <c r="AU18" s="915">
        <v>36.746668945999993</v>
      </c>
      <c r="AV18" s="916">
        <v>31790</v>
      </c>
      <c r="AW18" s="915">
        <v>6.4437208139999997</v>
      </c>
      <c r="AX18" s="916" t="s">
        <v>601</v>
      </c>
      <c r="AY18" s="916">
        <v>135751</v>
      </c>
      <c r="AZ18" s="915">
        <v>105.607689382</v>
      </c>
      <c r="BA18" s="916">
        <v>21701199</v>
      </c>
      <c r="BB18" s="915">
        <v>16678.36048073565</v>
      </c>
      <c r="BC18" s="916">
        <v>1584816</v>
      </c>
      <c r="BD18" s="916">
        <v>20295617</v>
      </c>
      <c r="BE18" s="916">
        <v>615894</v>
      </c>
      <c r="BF18" s="916">
        <v>22496327</v>
      </c>
      <c r="BG18" s="916">
        <v>3014419</v>
      </c>
      <c r="BH18" s="916">
        <v>2071504</v>
      </c>
      <c r="BI18" s="915">
        <v>7006.7661438899995</v>
      </c>
      <c r="BJ18" s="916">
        <v>1189830</v>
      </c>
      <c r="BK18" s="916">
        <v>281211925</v>
      </c>
      <c r="BL18" s="915">
        <v>50946.827696114</v>
      </c>
      <c r="BM18" s="916">
        <v>115882015</v>
      </c>
      <c r="BN18" s="916">
        <v>10173</v>
      </c>
      <c r="BO18" s="916">
        <v>7577244</v>
      </c>
      <c r="BP18" s="915">
        <v>30127.073803494004</v>
      </c>
      <c r="BQ18" s="916">
        <v>8224614</v>
      </c>
      <c r="BR18" s="916">
        <v>11327</v>
      </c>
      <c r="BS18" s="916">
        <v>67106</v>
      </c>
      <c r="BT18" s="1409"/>
    </row>
    <row r="19" spans="1:73" s="198" customFormat="1" ht="12.6" customHeight="1">
      <c r="A19" s="627" t="s">
        <v>608</v>
      </c>
      <c r="B19" s="627">
        <v>1631575</v>
      </c>
      <c r="C19" s="913">
        <v>182214.84471537196</v>
      </c>
      <c r="D19" s="627">
        <v>17578</v>
      </c>
      <c r="E19" s="913">
        <v>759.15691033000007</v>
      </c>
      <c r="F19" s="912">
        <v>1649153</v>
      </c>
      <c r="G19" s="913">
        <v>182974.00162570196</v>
      </c>
      <c r="H19" s="627">
        <v>4931338</v>
      </c>
      <c r="I19" s="913">
        <v>28819.023698440003</v>
      </c>
      <c r="J19" s="627">
        <v>227826</v>
      </c>
      <c r="K19" s="913">
        <v>178.79371142800002</v>
      </c>
      <c r="L19" s="627">
        <v>1046</v>
      </c>
      <c r="M19" s="913">
        <v>1.9602138494000001</v>
      </c>
      <c r="N19" s="627">
        <v>1444596</v>
      </c>
      <c r="O19" s="913">
        <v>876.62284036399979</v>
      </c>
      <c r="P19" s="627">
        <v>49562</v>
      </c>
      <c r="Q19" s="913">
        <v>34.576012741400007</v>
      </c>
      <c r="R19" s="627">
        <v>538811</v>
      </c>
      <c r="S19" s="913">
        <v>258.23214437199999</v>
      </c>
      <c r="T19" s="627">
        <v>92550</v>
      </c>
      <c r="U19" s="913">
        <v>31.034446779700005</v>
      </c>
      <c r="V19" s="627">
        <v>2354391</v>
      </c>
      <c r="W19" s="913">
        <v>1381.2193695344997</v>
      </c>
      <c r="X19" s="913">
        <v>5581.8513007279998</v>
      </c>
      <c r="Y19" s="627" t="s">
        <v>608</v>
      </c>
      <c r="Z19" s="627">
        <v>18635757</v>
      </c>
      <c r="AA19" s="913">
        <v>15846.335855750001</v>
      </c>
      <c r="AB19" s="627">
        <v>954</v>
      </c>
      <c r="AC19" s="913">
        <v>4.0197432170000003</v>
      </c>
      <c r="AD19" s="627">
        <v>1269735</v>
      </c>
      <c r="AE19" s="913">
        <v>482.22485600099986</v>
      </c>
      <c r="AF19" s="627">
        <v>4500</v>
      </c>
      <c r="AG19" s="913">
        <v>2.8779939720000001</v>
      </c>
      <c r="AH19" s="627">
        <v>1123522</v>
      </c>
      <c r="AI19" s="913">
        <v>189.76868595200003</v>
      </c>
      <c r="AJ19" s="627">
        <v>15849</v>
      </c>
      <c r="AK19" s="913">
        <v>3.9309985693000007</v>
      </c>
      <c r="AL19" s="627">
        <v>21050317</v>
      </c>
      <c r="AM19" s="913">
        <v>16529.158133461304</v>
      </c>
      <c r="AN19" s="627">
        <v>194715</v>
      </c>
      <c r="AO19" s="913">
        <v>163.82266943500002</v>
      </c>
      <c r="AP19" s="627">
        <v>101978</v>
      </c>
      <c r="AQ19" s="913">
        <v>15.5511893998</v>
      </c>
      <c r="AR19" s="627">
        <v>58080</v>
      </c>
      <c r="AS19" s="913">
        <v>69.751516933000005</v>
      </c>
      <c r="AT19" s="627">
        <v>64231</v>
      </c>
      <c r="AU19" s="913">
        <v>43.671869610000002</v>
      </c>
      <c r="AV19" s="627">
        <v>23928</v>
      </c>
      <c r="AW19" s="913">
        <v>7.2761266720000002</v>
      </c>
      <c r="AX19" s="627" t="s">
        <v>608</v>
      </c>
      <c r="AY19" s="627">
        <v>146239</v>
      </c>
      <c r="AZ19" s="913">
        <v>120.69951321500001</v>
      </c>
      <c r="BA19" s="627">
        <v>23847640</v>
      </c>
      <c r="BB19" s="913">
        <v>18210.450875045608</v>
      </c>
      <c r="BC19" s="627">
        <v>1597377</v>
      </c>
      <c r="BD19" s="627">
        <v>20629271</v>
      </c>
      <c r="BE19" s="627">
        <v>648104</v>
      </c>
      <c r="BF19" s="627">
        <v>22874752</v>
      </c>
      <c r="BG19" s="627">
        <v>3104031</v>
      </c>
      <c r="BH19" s="627">
        <v>2130734</v>
      </c>
      <c r="BI19" s="913">
        <v>6315.4485550249992</v>
      </c>
      <c r="BJ19" s="627">
        <v>1206319</v>
      </c>
      <c r="BK19" s="627">
        <v>300159480</v>
      </c>
      <c r="BL19" s="913">
        <v>55924.953044519003</v>
      </c>
      <c r="BM19" s="627">
        <v>118173444</v>
      </c>
      <c r="BN19" s="627">
        <v>10471</v>
      </c>
      <c r="BO19" s="627">
        <v>8204881</v>
      </c>
      <c r="BP19" s="913">
        <v>32375.65474546</v>
      </c>
      <c r="BQ19" s="627">
        <v>8786171</v>
      </c>
      <c r="BR19" s="627">
        <v>11558</v>
      </c>
      <c r="BS19" s="627">
        <v>68871</v>
      </c>
      <c r="BT19" s="1409"/>
    </row>
    <row r="20" spans="1:73" s="198" customFormat="1" ht="12.6" customHeight="1">
      <c r="A20" s="916" t="s">
        <v>609</v>
      </c>
      <c r="B20" s="916">
        <v>1830873</v>
      </c>
      <c r="C20" s="915">
        <v>209078.60645093705</v>
      </c>
      <c r="D20" s="916">
        <v>19728</v>
      </c>
      <c r="E20" s="915">
        <v>799.39725298899998</v>
      </c>
      <c r="F20" s="914">
        <v>1850601</v>
      </c>
      <c r="G20" s="915">
        <v>209878.00370392605</v>
      </c>
      <c r="H20" s="916">
        <v>6038689</v>
      </c>
      <c r="I20" s="915">
        <v>31865.877937165995</v>
      </c>
      <c r="J20" s="916">
        <v>262475</v>
      </c>
      <c r="K20" s="915">
        <v>211.19657756099994</v>
      </c>
      <c r="L20" s="916">
        <v>1256</v>
      </c>
      <c r="M20" s="915">
        <v>2.4366341518999994</v>
      </c>
      <c r="N20" s="916">
        <v>1468964</v>
      </c>
      <c r="O20" s="915">
        <v>877.33949270599999</v>
      </c>
      <c r="P20" s="916">
        <v>60429</v>
      </c>
      <c r="Q20" s="915">
        <v>42.53468897074999</v>
      </c>
      <c r="R20" s="916">
        <v>642047</v>
      </c>
      <c r="S20" s="915">
        <v>261.14753080799994</v>
      </c>
      <c r="T20" s="916">
        <v>123715</v>
      </c>
      <c r="U20" s="915">
        <v>39.488865898299998</v>
      </c>
      <c r="V20" s="916">
        <v>2558886</v>
      </c>
      <c r="W20" s="915">
        <v>1434.14379009595</v>
      </c>
      <c r="X20" s="915">
        <v>5753.3035608289993</v>
      </c>
      <c r="Y20" s="916" t="s">
        <v>609</v>
      </c>
      <c r="Z20" s="916">
        <v>19520551</v>
      </c>
      <c r="AA20" s="915">
        <v>16634.983391550006</v>
      </c>
      <c r="AB20" s="916">
        <v>1115</v>
      </c>
      <c r="AC20" s="915">
        <v>4.6580035878999997</v>
      </c>
      <c r="AD20" s="916">
        <v>1277945</v>
      </c>
      <c r="AE20" s="915">
        <v>487.69273977899996</v>
      </c>
      <c r="AF20" s="916">
        <v>6044</v>
      </c>
      <c r="AG20" s="915">
        <v>3.6473518647500001</v>
      </c>
      <c r="AH20" s="916">
        <v>1108004</v>
      </c>
      <c r="AI20" s="915">
        <v>196.09230325499996</v>
      </c>
      <c r="AJ20" s="916">
        <v>23689</v>
      </c>
      <c r="AK20" s="915">
        <v>5.4912655780000001</v>
      </c>
      <c r="AL20" s="916">
        <v>21937348</v>
      </c>
      <c r="AM20" s="915">
        <v>17332.565055614657</v>
      </c>
      <c r="AN20" s="916">
        <v>214554</v>
      </c>
      <c r="AO20" s="915">
        <v>135.37897272900003</v>
      </c>
      <c r="AP20" s="916">
        <v>156514</v>
      </c>
      <c r="AQ20" s="915">
        <v>22.629174642450003</v>
      </c>
      <c r="AR20" s="916">
        <v>59729</v>
      </c>
      <c r="AS20" s="915">
        <v>71.137446393999994</v>
      </c>
      <c r="AT20" s="916">
        <v>63500</v>
      </c>
      <c r="AU20" s="915">
        <v>45.892098024999996</v>
      </c>
      <c r="AV20" s="916">
        <v>36907</v>
      </c>
      <c r="AW20" s="915">
        <v>9.9048666710000006</v>
      </c>
      <c r="AX20" s="916" t="s">
        <v>609</v>
      </c>
      <c r="AY20" s="916">
        <v>160136</v>
      </c>
      <c r="AZ20" s="915">
        <v>126.93441109</v>
      </c>
      <c r="BA20" s="916">
        <v>25027438</v>
      </c>
      <c r="BB20" s="915">
        <v>19051.651404172055</v>
      </c>
      <c r="BC20" s="916">
        <v>1615051</v>
      </c>
      <c r="BD20" s="916">
        <v>20969416</v>
      </c>
      <c r="BE20" s="916">
        <v>687718</v>
      </c>
      <c r="BF20" s="916">
        <v>23272185</v>
      </c>
      <c r="BG20" s="916">
        <v>3153948</v>
      </c>
      <c r="BH20" s="916">
        <v>2251905</v>
      </c>
      <c r="BI20" s="915">
        <v>7994.533572719999</v>
      </c>
      <c r="BJ20" s="916">
        <v>1227722</v>
      </c>
      <c r="BK20" s="916">
        <v>292703255</v>
      </c>
      <c r="BL20" s="915">
        <v>56974.290798212991</v>
      </c>
      <c r="BM20" s="916">
        <v>120297345</v>
      </c>
      <c r="BN20" s="916">
        <v>11142</v>
      </c>
      <c r="BO20" s="916">
        <v>9505851</v>
      </c>
      <c r="BP20" s="915">
        <v>33303.144733825</v>
      </c>
      <c r="BQ20" s="916">
        <v>9215386</v>
      </c>
      <c r="BR20" s="916">
        <v>11698</v>
      </c>
      <c r="BS20" s="916">
        <v>71083</v>
      </c>
      <c r="BT20" s="1409"/>
    </row>
    <row r="21" spans="1:73" s="198" customFormat="1" ht="12.6" customHeight="1">
      <c r="A21" s="627" t="s">
        <v>602</v>
      </c>
      <c r="B21" s="627">
        <v>1843486</v>
      </c>
      <c r="C21" s="913">
        <v>218392.13196139701</v>
      </c>
      <c r="D21" s="627">
        <v>57109</v>
      </c>
      <c r="E21" s="913">
        <v>1346.1473418040002</v>
      </c>
      <c r="F21" s="912">
        <v>1900595</v>
      </c>
      <c r="G21" s="913">
        <v>219738.27930320101</v>
      </c>
      <c r="H21" s="627">
        <v>5321127</v>
      </c>
      <c r="I21" s="913">
        <v>35160.298842013006</v>
      </c>
      <c r="J21" s="627">
        <v>291786</v>
      </c>
      <c r="K21" s="913">
        <v>243.83185958500005</v>
      </c>
      <c r="L21" s="627">
        <v>1476</v>
      </c>
      <c r="M21" s="913">
        <v>3.1545182280500002</v>
      </c>
      <c r="N21" s="627">
        <v>1522326</v>
      </c>
      <c r="O21" s="913">
        <v>942.7292528119998</v>
      </c>
      <c r="P21" s="627">
        <v>64798</v>
      </c>
      <c r="Q21" s="913">
        <v>51.208268193400002</v>
      </c>
      <c r="R21" s="627">
        <v>640684</v>
      </c>
      <c r="S21" s="913">
        <v>282.05379577000002</v>
      </c>
      <c r="T21" s="627">
        <v>105379</v>
      </c>
      <c r="U21" s="913">
        <v>37.927549299950002</v>
      </c>
      <c r="V21" s="627">
        <v>2626449</v>
      </c>
      <c r="W21" s="913">
        <v>1560.9052438884</v>
      </c>
      <c r="X21" s="913">
        <v>5920.7138683730009</v>
      </c>
      <c r="Y21" s="627" t="s">
        <v>602</v>
      </c>
      <c r="Z21" s="627">
        <v>21050647</v>
      </c>
      <c r="AA21" s="913">
        <v>18039.646870317996</v>
      </c>
      <c r="AB21" s="627">
        <v>1147</v>
      </c>
      <c r="AC21" s="913">
        <v>5.0957079827000005</v>
      </c>
      <c r="AD21" s="627">
        <v>1306613</v>
      </c>
      <c r="AE21" s="913">
        <v>495.3973209359998</v>
      </c>
      <c r="AF21" s="627">
        <v>7066</v>
      </c>
      <c r="AG21" s="913">
        <v>4.5672898230999994</v>
      </c>
      <c r="AH21" s="627">
        <v>1177675</v>
      </c>
      <c r="AI21" s="913">
        <v>244.14694849999995</v>
      </c>
      <c r="AJ21" s="627">
        <v>20432</v>
      </c>
      <c r="AK21" s="913">
        <v>6.7931425747500001</v>
      </c>
      <c r="AL21" s="627">
        <v>23563580</v>
      </c>
      <c r="AM21" s="913">
        <v>18795.647280134544</v>
      </c>
      <c r="AN21" s="627">
        <v>220926</v>
      </c>
      <c r="AO21" s="913">
        <v>146.809643736</v>
      </c>
      <c r="AP21" s="627">
        <v>133095</v>
      </c>
      <c r="AQ21" s="913">
        <v>21.017112098499997</v>
      </c>
      <c r="AR21" s="627">
        <v>70081</v>
      </c>
      <c r="AS21" s="913">
        <v>83.064940000000007</v>
      </c>
      <c r="AT21" s="627">
        <v>77909</v>
      </c>
      <c r="AU21" s="913">
        <v>55.868615613000003</v>
      </c>
      <c r="AV21" s="627">
        <v>35088</v>
      </c>
      <c r="AW21" s="913">
        <v>9.2845008750000009</v>
      </c>
      <c r="AX21" s="627" t="s">
        <v>602</v>
      </c>
      <c r="AY21" s="627">
        <v>183078</v>
      </c>
      <c r="AZ21" s="913">
        <v>148.218056488</v>
      </c>
      <c r="BA21" s="627">
        <v>26727128</v>
      </c>
      <c r="BB21" s="913">
        <v>20672.597336345443</v>
      </c>
      <c r="BC21" s="627">
        <v>1639669</v>
      </c>
      <c r="BD21" s="627">
        <v>21377291</v>
      </c>
      <c r="BE21" s="627">
        <v>699184</v>
      </c>
      <c r="BF21" s="627">
        <v>23716144</v>
      </c>
      <c r="BG21" s="627">
        <v>3245333</v>
      </c>
      <c r="BH21" s="627">
        <v>2344411</v>
      </c>
      <c r="BI21" s="913">
        <v>8092.6097477160001</v>
      </c>
      <c r="BJ21" s="627">
        <v>1266795</v>
      </c>
      <c r="BK21" s="627">
        <v>315091902</v>
      </c>
      <c r="BL21" s="913">
        <v>61757.500031471005</v>
      </c>
      <c r="BM21" s="627">
        <v>122928277</v>
      </c>
      <c r="BN21" s="627">
        <v>11932</v>
      </c>
      <c r="BO21" s="627">
        <v>9799608</v>
      </c>
      <c r="BP21" s="913">
        <v>33457.036483143005</v>
      </c>
      <c r="BQ21" s="627">
        <v>9646002</v>
      </c>
      <c r="BR21" s="627">
        <v>11923</v>
      </c>
      <c r="BS21" s="627">
        <v>73229</v>
      </c>
      <c r="BT21" s="1409"/>
    </row>
    <row r="22" spans="1:73" s="198" customFormat="1" ht="12.6" customHeight="1">
      <c r="A22" s="916" t="s">
        <v>610</v>
      </c>
      <c r="B22" s="916">
        <v>1893477</v>
      </c>
      <c r="C22" s="915">
        <v>207798.17410229697</v>
      </c>
      <c r="D22" s="916">
        <v>55443</v>
      </c>
      <c r="E22" s="915">
        <v>745.20533791499997</v>
      </c>
      <c r="F22" s="914">
        <v>1948920</v>
      </c>
      <c r="G22" s="915">
        <v>208543.37944021195</v>
      </c>
      <c r="H22" s="916">
        <v>6602193</v>
      </c>
      <c r="I22" s="915">
        <v>35798.515856337013</v>
      </c>
      <c r="J22" s="916">
        <v>296531</v>
      </c>
      <c r="K22" s="915">
        <v>252.61437881000003</v>
      </c>
      <c r="L22" s="916">
        <v>1255</v>
      </c>
      <c r="M22" s="915">
        <v>2.75120127845</v>
      </c>
      <c r="N22" s="916">
        <v>1552374</v>
      </c>
      <c r="O22" s="915">
        <v>936.35543347299983</v>
      </c>
      <c r="P22" s="916">
        <v>61311</v>
      </c>
      <c r="Q22" s="915">
        <v>49.022168378799989</v>
      </c>
      <c r="R22" s="916">
        <v>617865</v>
      </c>
      <c r="S22" s="915">
        <v>300.13100787699994</v>
      </c>
      <c r="T22" s="916">
        <v>101586</v>
      </c>
      <c r="U22" s="915">
        <v>38.530325761400007</v>
      </c>
      <c r="V22" s="916">
        <v>2630922</v>
      </c>
      <c r="W22" s="915">
        <v>1579.4045155786498</v>
      </c>
      <c r="X22" s="915">
        <v>6049.8686570349992</v>
      </c>
      <c r="Y22" s="916" t="s">
        <v>610</v>
      </c>
      <c r="Z22" s="916">
        <v>20939768</v>
      </c>
      <c r="AA22" s="915">
        <v>18053.121091290002</v>
      </c>
      <c r="AB22" s="916">
        <v>1248</v>
      </c>
      <c r="AC22" s="915">
        <v>14.699170446000002</v>
      </c>
      <c r="AD22" s="916">
        <v>1346096</v>
      </c>
      <c r="AE22" s="915">
        <v>502.96310156499999</v>
      </c>
      <c r="AF22" s="916">
        <v>8394</v>
      </c>
      <c r="AG22" s="915">
        <v>4.5449775720000005</v>
      </c>
      <c r="AH22" s="916">
        <v>1328343</v>
      </c>
      <c r="AI22" s="915">
        <v>286.53990391500002</v>
      </c>
      <c r="AJ22" s="916">
        <v>22017</v>
      </c>
      <c r="AK22" s="915">
        <v>8.3803138659999998</v>
      </c>
      <c r="AL22" s="916">
        <v>23645866</v>
      </c>
      <c r="AM22" s="915">
        <v>18870.248558654006</v>
      </c>
      <c r="AN22" s="916">
        <v>227955</v>
      </c>
      <c r="AO22" s="915">
        <v>151.98343367000001</v>
      </c>
      <c r="AP22" s="916">
        <v>127755</v>
      </c>
      <c r="AQ22" s="915">
        <v>23.469121592099995</v>
      </c>
      <c r="AR22" s="916">
        <v>72378</v>
      </c>
      <c r="AS22" s="915">
        <v>85.383409999999998</v>
      </c>
      <c r="AT22" s="916">
        <v>81809</v>
      </c>
      <c r="AU22" s="915">
        <v>56.853701402400006</v>
      </c>
      <c r="AV22" s="916">
        <v>39657</v>
      </c>
      <c r="AW22" s="915">
        <v>9.3306097710000007</v>
      </c>
      <c r="AX22" s="916" t="s">
        <v>610</v>
      </c>
      <c r="AY22" s="916">
        <v>193844</v>
      </c>
      <c r="AZ22" s="915">
        <v>151.5677211734</v>
      </c>
      <c r="BA22" s="916">
        <v>26826342</v>
      </c>
      <c r="BB22" s="915">
        <v>20776.673350668159</v>
      </c>
      <c r="BC22" s="916">
        <v>1655921</v>
      </c>
      <c r="BD22" s="916">
        <v>21670524</v>
      </c>
      <c r="BE22" s="916">
        <v>755644</v>
      </c>
      <c r="BF22" s="916">
        <v>24082089</v>
      </c>
      <c r="BG22" s="916">
        <v>3319668</v>
      </c>
      <c r="BH22" s="916">
        <v>2373928</v>
      </c>
      <c r="BI22" s="915">
        <v>8543.3671788089996</v>
      </c>
      <c r="BJ22" s="916">
        <v>1259967</v>
      </c>
      <c r="BK22" s="916">
        <v>316672662</v>
      </c>
      <c r="BL22" s="915">
        <v>62689.244892744995</v>
      </c>
      <c r="BM22" s="916">
        <v>125116223</v>
      </c>
      <c r="BN22" s="916">
        <v>12045</v>
      </c>
      <c r="BO22" s="916">
        <v>10660367</v>
      </c>
      <c r="BP22" s="915">
        <v>34078.592031386994</v>
      </c>
      <c r="BQ22" s="916">
        <v>10074110</v>
      </c>
      <c r="BR22" s="916">
        <v>12002</v>
      </c>
      <c r="BS22" s="916">
        <v>75737</v>
      </c>
      <c r="BT22" s="1409"/>
    </row>
    <row r="23" spans="1:73" s="198" customFormat="1" ht="12.6" customHeight="1">
      <c r="A23" s="627" t="s">
        <v>611</v>
      </c>
      <c r="B23" s="627">
        <v>1731805</v>
      </c>
      <c r="C23" s="913">
        <v>191535.45338249698</v>
      </c>
      <c r="D23" s="627">
        <v>49396</v>
      </c>
      <c r="E23" s="913">
        <v>749.07760358300004</v>
      </c>
      <c r="F23" s="912">
        <v>1781201</v>
      </c>
      <c r="G23" s="913">
        <v>192284.53098607998</v>
      </c>
      <c r="H23" s="627">
        <v>9340372</v>
      </c>
      <c r="I23" s="913">
        <v>32697.191086638995</v>
      </c>
      <c r="J23" s="627">
        <v>279061</v>
      </c>
      <c r="K23" s="913">
        <v>232.863871394</v>
      </c>
      <c r="L23" s="627">
        <v>1163</v>
      </c>
      <c r="M23" s="913">
        <v>2.2844918402500003</v>
      </c>
      <c r="N23" s="627">
        <v>1463934</v>
      </c>
      <c r="O23" s="913">
        <v>892.31313773099987</v>
      </c>
      <c r="P23" s="627">
        <v>61108</v>
      </c>
      <c r="Q23" s="913">
        <v>47.522934584399998</v>
      </c>
      <c r="R23" s="627">
        <v>585606</v>
      </c>
      <c r="S23" s="913">
        <v>301.37200114400002</v>
      </c>
      <c r="T23" s="627">
        <v>93210</v>
      </c>
      <c r="U23" s="913">
        <v>32.957571599800005</v>
      </c>
      <c r="V23" s="627">
        <v>2484082</v>
      </c>
      <c r="W23" s="913">
        <v>1509.3140082934499</v>
      </c>
      <c r="X23" s="913">
        <v>6174.0299929459998</v>
      </c>
      <c r="Y23" s="627" t="s">
        <v>611</v>
      </c>
      <c r="Z23" s="627">
        <v>20213897</v>
      </c>
      <c r="AA23" s="913">
        <v>17271.354298157006</v>
      </c>
      <c r="AB23" s="627">
        <v>1096</v>
      </c>
      <c r="AC23" s="913">
        <v>2.3757442868999998</v>
      </c>
      <c r="AD23" s="627">
        <v>1271595</v>
      </c>
      <c r="AE23" s="913">
        <v>482.12599397399993</v>
      </c>
      <c r="AF23" s="627">
        <v>7513</v>
      </c>
      <c r="AG23" s="913">
        <v>4.1737991000000001</v>
      </c>
      <c r="AH23" s="627">
        <v>1215028</v>
      </c>
      <c r="AI23" s="913">
        <v>297.45815780480001</v>
      </c>
      <c r="AJ23" s="627">
        <v>21032</v>
      </c>
      <c r="AK23" s="913">
        <v>5.9982650041999994</v>
      </c>
      <c r="AL23" s="627">
        <v>22730161</v>
      </c>
      <c r="AM23" s="913">
        <v>18063.486258326906</v>
      </c>
      <c r="AN23" s="627">
        <v>213872</v>
      </c>
      <c r="AO23" s="913">
        <v>145.554501348</v>
      </c>
      <c r="AP23" s="627">
        <v>113810</v>
      </c>
      <c r="AQ23" s="913">
        <v>19.926561623950001</v>
      </c>
      <c r="AR23" s="627">
        <v>71256</v>
      </c>
      <c r="AS23" s="913">
        <v>82.784013299999984</v>
      </c>
      <c r="AT23" s="627">
        <v>82084</v>
      </c>
      <c r="AU23" s="913">
        <v>63.551224380000008</v>
      </c>
      <c r="AV23" s="627">
        <v>39348</v>
      </c>
      <c r="AW23" s="913">
        <v>9.5667757600000005</v>
      </c>
      <c r="AX23" s="627" t="s">
        <v>611</v>
      </c>
      <c r="AY23" s="627">
        <v>192688</v>
      </c>
      <c r="AZ23" s="913">
        <v>155.90201343999999</v>
      </c>
      <c r="BA23" s="627">
        <v>25734613</v>
      </c>
      <c r="BB23" s="913">
        <v>19894.183343032309</v>
      </c>
      <c r="BC23" s="627">
        <v>1676006</v>
      </c>
      <c r="BD23" s="627">
        <v>22055754</v>
      </c>
      <c r="BE23" s="627">
        <v>760693</v>
      </c>
      <c r="BF23" s="627">
        <v>24492453</v>
      </c>
      <c r="BG23" s="627">
        <v>3382447</v>
      </c>
      <c r="BH23" s="627">
        <v>2280340</v>
      </c>
      <c r="BI23" s="913">
        <v>8477.2987266489999</v>
      </c>
      <c r="BJ23" s="627">
        <v>1276553</v>
      </c>
      <c r="BK23" s="627">
        <v>301084915</v>
      </c>
      <c r="BL23" s="913">
        <v>60769.794497972012</v>
      </c>
      <c r="BM23" s="627">
        <v>131367394</v>
      </c>
      <c r="BN23" s="627">
        <v>12123</v>
      </c>
      <c r="BO23" s="627">
        <v>9064200</v>
      </c>
      <c r="BP23" s="913">
        <v>31385.247710336997</v>
      </c>
      <c r="BQ23" s="627">
        <v>10524787</v>
      </c>
      <c r="BR23" s="627">
        <v>12111</v>
      </c>
      <c r="BS23" s="627">
        <v>77806</v>
      </c>
      <c r="BT23" s="1409"/>
    </row>
    <row r="24" spans="1:73" s="198" customFormat="1" ht="12.6" customHeight="1">
      <c r="A24" s="916" t="s">
        <v>603</v>
      </c>
      <c r="B24" s="916">
        <v>1946786</v>
      </c>
      <c r="C24" s="915">
        <v>210520.79986431802</v>
      </c>
      <c r="D24" s="916">
        <v>45755</v>
      </c>
      <c r="E24" s="915">
        <v>818.51810823200003</v>
      </c>
      <c r="F24" s="914">
        <v>1992541</v>
      </c>
      <c r="G24" s="915">
        <v>211339.31797255002</v>
      </c>
      <c r="H24" s="916">
        <v>9824318</v>
      </c>
      <c r="I24" s="915">
        <v>36779.038994524992</v>
      </c>
      <c r="J24" s="916">
        <v>324524</v>
      </c>
      <c r="K24" s="915">
        <v>275.204915771</v>
      </c>
      <c r="L24" s="916">
        <v>1397</v>
      </c>
      <c r="M24" s="915">
        <v>2.68137101095</v>
      </c>
      <c r="N24" s="916">
        <v>1652260</v>
      </c>
      <c r="O24" s="915">
        <v>1027.8112647870003</v>
      </c>
      <c r="P24" s="916">
        <v>77972</v>
      </c>
      <c r="Q24" s="915">
        <v>59.608743653699996</v>
      </c>
      <c r="R24" s="916">
        <v>710002</v>
      </c>
      <c r="S24" s="915">
        <v>377.51808584499992</v>
      </c>
      <c r="T24" s="916">
        <v>107343</v>
      </c>
      <c r="U24" s="915">
        <v>40.357929040700007</v>
      </c>
      <c r="V24" s="916">
        <v>2873498</v>
      </c>
      <c r="W24" s="915">
        <v>1783.1823101083501</v>
      </c>
      <c r="X24" s="915">
        <v>6274.65618765</v>
      </c>
      <c r="Y24" s="916" t="s">
        <v>603</v>
      </c>
      <c r="Z24" s="916">
        <v>23329866</v>
      </c>
      <c r="AA24" s="915">
        <v>21027.199873841008</v>
      </c>
      <c r="AB24" s="916">
        <v>1343</v>
      </c>
      <c r="AC24" s="915">
        <v>2.5279279420000003</v>
      </c>
      <c r="AD24" s="916">
        <v>1466917</v>
      </c>
      <c r="AE24" s="915">
        <v>558.20598236499984</v>
      </c>
      <c r="AF24" s="916">
        <v>9847</v>
      </c>
      <c r="AG24" s="915">
        <v>5.5049250389999997</v>
      </c>
      <c r="AH24" s="916">
        <v>1496098</v>
      </c>
      <c r="AI24" s="915">
        <v>399.95486290899998</v>
      </c>
      <c r="AJ24" s="916">
        <v>24311</v>
      </c>
      <c r="AK24" s="915">
        <v>6.9353860460000005</v>
      </c>
      <c r="AL24" s="916">
        <v>26328382</v>
      </c>
      <c r="AM24" s="915">
        <v>22000.328958142007</v>
      </c>
      <c r="AN24" s="916">
        <v>238713</v>
      </c>
      <c r="AO24" s="915">
        <v>156.70558005999996</v>
      </c>
      <c r="AP24" s="916">
        <v>127008</v>
      </c>
      <c r="AQ24" s="915">
        <v>24.106935017450009</v>
      </c>
      <c r="AR24" s="916">
        <v>86415</v>
      </c>
      <c r="AS24" s="915">
        <v>111.14200999999998</v>
      </c>
      <c r="AT24" s="916">
        <v>95318</v>
      </c>
      <c r="AU24" s="915">
        <v>74.173274243499989</v>
      </c>
      <c r="AV24" s="916">
        <v>45725</v>
      </c>
      <c r="AW24" s="915">
        <v>11.859193227999999</v>
      </c>
      <c r="AX24" s="916" t="s">
        <v>603</v>
      </c>
      <c r="AY24" s="916">
        <v>227458</v>
      </c>
      <c r="AZ24" s="915">
        <v>197.17447747149998</v>
      </c>
      <c r="BA24" s="916">
        <v>29795059</v>
      </c>
      <c r="BB24" s="915">
        <v>24161.498260799308</v>
      </c>
      <c r="BC24" s="916">
        <v>1698741</v>
      </c>
      <c r="BD24" s="916">
        <v>22449847</v>
      </c>
      <c r="BE24" s="916">
        <v>811757</v>
      </c>
      <c r="BF24" s="916">
        <v>24960345</v>
      </c>
      <c r="BG24" s="916">
        <v>3472072</v>
      </c>
      <c r="BH24" s="916">
        <v>2601212</v>
      </c>
      <c r="BI24" s="915">
        <v>10371.052578296003</v>
      </c>
      <c r="BJ24" s="916">
        <v>1294485</v>
      </c>
      <c r="BK24" s="916">
        <v>348172496</v>
      </c>
      <c r="BL24" s="915">
        <v>67602.19642466199</v>
      </c>
      <c r="BM24" s="916">
        <v>141655715</v>
      </c>
      <c r="BN24" s="916">
        <v>12370</v>
      </c>
      <c r="BO24" s="916">
        <v>11201569</v>
      </c>
      <c r="BP24" s="915">
        <v>38227.88262335601</v>
      </c>
      <c r="BQ24" s="916">
        <v>11022742</v>
      </c>
      <c r="BR24" s="916">
        <v>12225</v>
      </c>
      <c r="BS24" s="916">
        <v>79254</v>
      </c>
      <c r="BT24" s="1409"/>
    </row>
    <row r="25" spans="1:73" s="198" customFormat="1" ht="12.6" customHeight="1">
      <c r="A25" s="627" t="s">
        <v>612</v>
      </c>
      <c r="B25" s="627">
        <v>1356335</v>
      </c>
      <c r="C25" s="913">
        <v>169037.33358036005</v>
      </c>
      <c r="D25" s="627">
        <v>40309</v>
      </c>
      <c r="E25" s="913">
        <v>981.61180010400005</v>
      </c>
      <c r="F25" s="912">
        <v>1396644</v>
      </c>
      <c r="G25" s="913">
        <v>170018.94538046405</v>
      </c>
      <c r="H25" s="627">
        <v>14087179</v>
      </c>
      <c r="I25" s="913">
        <v>37861.543465827999</v>
      </c>
      <c r="J25" s="627">
        <v>293404</v>
      </c>
      <c r="K25" s="913">
        <v>257.96496408600007</v>
      </c>
      <c r="L25" s="627">
        <v>1325</v>
      </c>
      <c r="M25" s="913">
        <v>2.2972715481500003</v>
      </c>
      <c r="N25" s="627">
        <v>1195301</v>
      </c>
      <c r="O25" s="913">
        <v>800.74781270999995</v>
      </c>
      <c r="P25" s="627">
        <v>59872</v>
      </c>
      <c r="Q25" s="913">
        <v>41.382026771599996</v>
      </c>
      <c r="R25" s="627">
        <v>707910</v>
      </c>
      <c r="S25" s="913">
        <v>398.11976635600001</v>
      </c>
      <c r="T25" s="627">
        <v>78796</v>
      </c>
      <c r="U25" s="913">
        <v>34.052402962049996</v>
      </c>
      <c r="V25" s="627">
        <v>2336608</v>
      </c>
      <c r="W25" s="913">
        <v>1534.5642444338</v>
      </c>
      <c r="X25" s="913">
        <v>6259.9313524200006</v>
      </c>
      <c r="Y25" s="627" t="s">
        <v>612</v>
      </c>
      <c r="Z25" s="627">
        <v>20861492</v>
      </c>
      <c r="AA25" s="913">
        <v>19348.043521211999</v>
      </c>
      <c r="AB25" s="627">
        <v>1329</v>
      </c>
      <c r="AC25" s="913">
        <v>2.8606041070000003</v>
      </c>
      <c r="AD25" s="627">
        <v>1082650</v>
      </c>
      <c r="AE25" s="913">
        <v>447.70696086800007</v>
      </c>
      <c r="AF25" s="627">
        <v>8564</v>
      </c>
      <c r="AG25" s="913">
        <v>4.2394983829000008</v>
      </c>
      <c r="AH25" s="627">
        <v>1459809</v>
      </c>
      <c r="AI25" s="913">
        <v>440.24812176300014</v>
      </c>
      <c r="AJ25" s="627">
        <v>19555</v>
      </c>
      <c r="AK25" s="913">
        <v>5.4368863650000003</v>
      </c>
      <c r="AL25" s="627">
        <v>23433399</v>
      </c>
      <c r="AM25" s="913">
        <v>20248.535592697903</v>
      </c>
      <c r="AN25" s="627">
        <v>233063</v>
      </c>
      <c r="AO25" s="913">
        <v>154.41698926500004</v>
      </c>
      <c r="AP25" s="627">
        <v>98047</v>
      </c>
      <c r="AQ25" s="913">
        <v>19.165158691149998</v>
      </c>
      <c r="AR25" s="627">
        <v>70602</v>
      </c>
      <c r="AS25" s="913">
        <v>86.238890000000012</v>
      </c>
      <c r="AT25" s="627">
        <v>61388</v>
      </c>
      <c r="AU25" s="913">
        <v>50.316289002699996</v>
      </c>
      <c r="AV25" s="627">
        <v>48085</v>
      </c>
      <c r="AW25" s="913">
        <v>13.765987857999999</v>
      </c>
      <c r="AX25" s="627" t="s">
        <v>612</v>
      </c>
      <c r="AY25" s="627">
        <v>180075</v>
      </c>
      <c r="AZ25" s="913">
        <v>150.3211668607</v>
      </c>
      <c r="BA25" s="627">
        <v>26281192</v>
      </c>
      <c r="BB25" s="913">
        <v>22107.003151948553</v>
      </c>
      <c r="BC25" s="627">
        <v>1708072</v>
      </c>
      <c r="BD25" s="627">
        <v>22792079</v>
      </c>
      <c r="BE25" s="627">
        <v>862762</v>
      </c>
      <c r="BF25" s="627">
        <v>25362913</v>
      </c>
      <c r="BG25" s="627">
        <v>3437262</v>
      </c>
      <c r="BH25" s="627">
        <v>2585531</v>
      </c>
      <c r="BI25" s="913">
        <v>9367.8447470970004</v>
      </c>
      <c r="BJ25" s="627">
        <v>1290393</v>
      </c>
      <c r="BK25" s="627">
        <v>335660433</v>
      </c>
      <c r="BL25" s="913">
        <v>71576.622739252998</v>
      </c>
      <c r="BM25" s="627">
        <v>138401212</v>
      </c>
      <c r="BN25" s="627">
        <v>12462</v>
      </c>
      <c r="BO25" s="627">
        <v>11934477</v>
      </c>
      <c r="BP25" s="913">
        <v>35069.726951644996</v>
      </c>
      <c r="BQ25" s="627">
        <v>11453139</v>
      </c>
      <c r="BR25" s="627">
        <v>12259</v>
      </c>
      <c r="BS25" s="627">
        <v>80276</v>
      </c>
      <c r="BT25" s="1409"/>
    </row>
    <row r="26" spans="1:73" s="198" customFormat="1" ht="12.6" customHeight="1">
      <c r="A26" s="916" t="s">
        <v>613</v>
      </c>
      <c r="B26" s="916">
        <v>1527441</v>
      </c>
      <c r="C26" s="915">
        <v>199560.20610272797</v>
      </c>
      <c r="D26" s="916">
        <v>39193</v>
      </c>
      <c r="E26" s="915">
        <v>758.93584428000008</v>
      </c>
      <c r="F26" s="914">
        <v>1566634</v>
      </c>
      <c r="G26" s="915">
        <v>200319.14194700797</v>
      </c>
      <c r="H26" s="916">
        <v>21631065</v>
      </c>
      <c r="I26" s="915">
        <v>47188.166233674994</v>
      </c>
      <c r="J26" s="916">
        <v>299079</v>
      </c>
      <c r="K26" s="915">
        <v>276.59281992299998</v>
      </c>
      <c r="L26" s="916">
        <v>1042</v>
      </c>
      <c r="M26" s="915">
        <v>2.3016857862500002</v>
      </c>
      <c r="N26" s="916">
        <v>1685505</v>
      </c>
      <c r="O26" s="915">
        <v>874.07304315199985</v>
      </c>
      <c r="P26" s="916">
        <v>60065</v>
      </c>
      <c r="Q26" s="915">
        <v>33.561195093649999</v>
      </c>
      <c r="R26" s="916">
        <v>701454</v>
      </c>
      <c r="S26" s="915">
        <v>482.96549682400013</v>
      </c>
      <c r="T26" s="916">
        <v>91412</v>
      </c>
      <c r="U26" s="915">
        <v>38.87336981835</v>
      </c>
      <c r="V26" s="916">
        <v>2838557</v>
      </c>
      <c r="W26" s="915">
        <v>1708.3676105972499</v>
      </c>
      <c r="X26" s="915">
        <v>6413.9504930780004</v>
      </c>
      <c r="Y26" s="916" t="s">
        <v>613</v>
      </c>
      <c r="Z26" s="916">
        <v>23795911</v>
      </c>
      <c r="AA26" s="915">
        <v>21176.144691160003</v>
      </c>
      <c r="AB26" s="916">
        <v>1205</v>
      </c>
      <c r="AC26" s="915">
        <v>2.9115620679999998</v>
      </c>
      <c r="AD26" s="916">
        <v>2046777</v>
      </c>
      <c r="AE26" s="915">
        <v>654.32850171500002</v>
      </c>
      <c r="AF26" s="916">
        <v>9441</v>
      </c>
      <c r="AG26" s="915">
        <v>3.4379580171999997</v>
      </c>
      <c r="AH26" s="916">
        <v>1460946</v>
      </c>
      <c r="AI26" s="915">
        <v>608.38103590400021</v>
      </c>
      <c r="AJ26" s="916">
        <v>25318</v>
      </c>
      <c r="AK26" s="915">
        <v>6.7985235499999996</v>
      </c>
      <c r="AL26" s="916">
        <v>27339598</v>
      </c>
      <c r="AM26" s="915">
        <v>22452.0022724142</v>
      </c>
      <c r="AN26" s="916">
        <v>296549</v>
      </c>
      <c r="AO26" s="915">
        <v>191.52176767200004</v>
      </c>
      <c r="AP26" s="916">
        <v>97962</v>
      </c>
      <c r="AQ26" s="915">
        <v>19.391889520850008</v>
      </c>
      <c r="AR26" s="916">
        <v>96693</v>
      </c>
      <c r="AS26" s="915">
        <v>95.321969999999993</v>
      </c>
      <c r="AT26" s="916">
        <v>82928</v>
      </c>
      <c r="AU26" s="915">
        <v>62.726232075599995</v>
      </c>
      <c r="AV26" s="916">
        <v>52796</v>
      </c>
      <c r="AW26" s="915">
        <v>16.451610768999998</v>
      </c>
      <c r="AX26" s="916" t="s">
        <v>613</v>
      </c>
      <c r="AY26" s="916">
        <v>232417</v>
      </c>
      <c r="AZ26" s="915">
        <v>174.4998128446</v>
      </c>
      <c r="BA26" s="916">
        <v>30805083</v>
      </c>
      <c r="BB26" s="915">
        <v>24545.783353048901</v>
      </c>
      <c r="BC26" s="916">
        <v>1719832</v>
      </c>
      <c r="BD26" s="916">
        <v>23041234</v>
      </c>
      <c r="BE26" s="916">
        <v>873977</v>
      </c>
      <c r="BF26" s="916">
        <v>25635043</v>
      </c>
      <c r="BG26" s="916">
        <v>3560387</v>
      </c>
      <c r="BH26" s="916">
        <v>2905968</v>
      </c>
      <c r="BI26" s="915">
        <v>11384.415372759</v>
      </c>
      <c r="BJ26" s="916">
        <v>1320408</v>
      </c>
      <c r="BK26" s="916">
        <v>405077304</v>
      </c>
      <c r="BL26" s="915">
        <v>84333.352454326305</v>
      </c>
      <c r="BM26" s="916">
        <v>144342786</v>
      </c>
      <c r="BN26" s="916">
        <v>12643</v>
      </c>
      <c r="BO26" s="916">
        <v>10561049</v>
      </c>
      <c r="BP26" s="915">
        <v>34348.952381334006</v>
      </c>
      <c r="BQ26" s="916">
        <v>11789053</v>
      </c>
      <c r="BR26" s="916">
        <v>12270</v>
      </c>
      <c r="BS26" s="916">
        <v>81911</v>
      </c>
      <c r="BT26" s="1409"/>
    </row>
    <row r="27" spans="1:73" s="198" customFormat="1" ht="12.6" customHeight="1">
      <c r="A27" s="627" t="s">
        <v>604</v>
      </c>
      <c r="B27" s="627">
        <v>2042495</v>
      </c>
      <c r="C27" s="913">
        <v>269010.85178074799</v>
      </c>
      <c r="D27" s="627">
        <v>45642</v>
      </c>
      <c r="E27" s="913">
        <v>1317.820072317</v>
      </c>
      <c r="F27" s="912">
        <v>2088137</v>
      </c>
      <c r="G27" s="913">
        <v>270328.67185306497</v>
      </c>
      <c r="H27" s="627">
        <v>37096243</v>
      </c>
      <c r="I27" s="913">
        <v>52932.100861832012</v>
      </c>
      <c r="J27" s="627">
        <v>318301</v>
      </c>
      <c r="K27" s="913">
        <v>306.29480144300004</v>
      </c>
      <c r="L27" s="627">
        <v>1160</v>
      </c>
      <c r="M27" s="913">
        <v>2.4797100416500002</v>
      </c>
      <c r="N27" s="627">
        <v>1492645</v>
      </c>
      <c r="O27" s="913">
        <v>1020.4898334930002</v>
      </c>
      <c r="P27" s="627">
        <v>80871</v>
      </c>
      <c r="Q27" s="913">
        <v>40.139750775199992</v>
      </c>
      <c r="R27" s="627">
        <v>708456</v>
      </c>
      <c r="S27" s="913">
        <v>521.27255663899996</v>
      </c>
      <c r="T27" s="627">
        <v>99909</v>
      </c>
      <c r="U27" s="913">
        <v>44.265435306499995</v>
      </c>
      <c r="V27" s="627">
        <v>2701342</v>
      </c>
      <c r="W27" s="913">
        <v>1934.94208769835</v>
      </c>
      <c r="X27" s="913">
        <v>6452.2631663700004</v>
      </c>
      <c r="Y27" s="627" t="s">
        <v>604</v>
      </c>
      <c r="Z27" s="627">
        <v>22577914</v>
      </c>
      <c r="AA27" s="913">
        <v>20437.273543086998</v>
      </c>
      <c r="AB27" s="627">
        <v>1018</v>
      </c>
      <c r="AC27" s="913">
        <v>2.510466981</v>
      </c>
      <c r="AD27" s="627">
        <v>1392956</v>
      </c>
      <c r="AE27" s="913">
        <v>586.95548543400014</v>
      </c>
      <c r="AF27" s="627">
        <v>11617</v>
      </c>
      <c r="AG27" s="913">
        <v>4.7335773559999996</v>
      </c>
      <c r="AH27" s="627">
        <v>1454984</v>
      </c>
      <c r="AI27" s="913">
        <v>659.00981477200014</v>
      </c>
      <c r="AJ27" s="627">
        <v>32252</v>
      </c>
      <c r="AK27" s="913">
        <v>8.3313576950000012</v>
      </c>
      <c r="AL27" s="627">
        <v>25470741</v>
      </c>
      <c r="AM27" s="913">
        <v>21698.814245324997</v>
      </c>
      <c r="AN27" s="627">
        <v>242769</v>
      </c>
      <c r="AO27" s="913">
        <v>168.85925992500003</v>
      </c>
      <c r="AP27" s="627">
        <v>115504</v>
      </c>
      <c r="AQ27" s="913">
        <v>22.819237187150001</v>
      </c>
      <c r="AR27" s="627">
        <v>70722</v>
      </c>
      <c r="AS27" s="913">
        <v>87.144440000000017</v>
      </c>
      <c r="AT27" s="627">
        <v>77381</v>
      </c>
      <c r="AU27" s="913">
        <v>60.751688769299989</v>
      </c>
      <c r="AV27" s="627">
        <v>49036</v>
      </c>
      <c r="AW27" s="913">
        <v>14.830543633000001</v>
      </c>
      <c r="AX27" s="627" t="s">
        <v>604</v>
      </c>
      <c r="AY27" s="627">
        <v>197139</v>
      </c>
      <c r="AZ27" s="913">
        <v>162.72667240229998</v>
      </c>
      <c r="BA27" s="627">
        <v>28727495</v>
      </c>
      <c r="BB27" s="913">
        <v>23988.161502537794</v>
      </c>
      <c r="BC27" s="627">
        <v>1734418</v>
      </c>
      <c r="BD27" s="627">
        <v>23363702</v>
      </c>
      <c r="BE27" s="627">
        <v>934250</v>
      </c>
      <c r="BF27" s="627">
        <v>26032370</v>
      </c>
      <c r="BG27" s="627">
        <v>3638433</v>
      </c>
      <c r="BH27" s="627">
        <v>2923115</v>
      </c>
      <c r="BI27" s="913">
        <v>10452.027802859999</v>
      </c>
      <c r="BJ27" s="627">
        <v>1377616</v>
      </c>
      <c r="BK27" s="627">
        <v>398129176</v>
      </c>
      <c r="BL27" s="913">
        <v>78586.183585780003</v>
      </c>
      <c r="BM27" s="627">
        <v>152462267</v>
      </c>
      <c r="BN27" s="627">
        <v>12930</v>
      </c>
      <c r="BO27" s="627">
        <v>13325444</v>
      </c>
      <c r="BP27" s="913">
        <v>38837.755577876022</v>
      </c>
      <c r="BQ27" s="627">
        <v>12202370</v>
      </c>
      <c r="BR27" s="627">
        <v>12337</v>
      </c>
      <c r="BS27" s="627">
        <v>82098</v>
      </c>
      <c r="BT27" s="1409"/>
    </row>
    <row r="28" spans="1:73" s="198" customFormat="1" ht="12.6" customHeight="1">
      <c r="A28" s="1353" t="s">
        <v>2166</v>
      </c>
      <c r="B28" s="1353">
        <f>B29+B30+B31+B32+B33+B34+B35+B36+B37+B38+B39+B40</f>
        <v>22051673</v>
      </c>
      <c r="C28" s="1354">
        <f t="shared" ref="C28:W28" si="3">C29+C30+C31+C32+C33+C34+C35+C36+C37+C38+C39+C40</f>
        <v>2560438.2513423832</v>
      </c>
      <c r="D28" s="1541">
        <f t="shared" si="3"/>
        <v>298366</v>
      </c>
      <c r="E28" s="1354">
        <f t="shared" si="3"/>
        <v>6825.6877742659999</v>
      </c>
      <c r="F28" s="1541">
        <f t="shared" si="3"/>
        <v>22350039</v>
      </c>
      <c r="G28" s="1354">
        <f t="shared" si="3"/>
        <v>2567263.9391166489</v>
      </c>
      <c r="H28" s="1644">
        <f>H29+H30+H31+H32+H33+H34+H35+H36+H37+H38+H39+H40</f>
        <v>185601004</v>
      </c>
      <c r="I28" s="1354">
        <f t="shared" si="3"/>
        <v>575743.87912449497</v>
      </c>
      <c r="J28" s="1541">
        <f t="shared" si="3"/>
        <v>5535126</v>
      </c>
      <c r="K28" s="1354">
        <f t="shared" si="3"/>
        <v>5684.4229899359998</v>
      </c>
      <c r="L28" s="1353">
        <f t="shared" si="3"/>
        <v>32269</v>
      </c>
      <c r="M28" s="1353">
        <f t="shared" si="3"/>
        <v>58.300769251000006</v>
      </c>
      <c r="N28" s="1353">
        <f t="shared" si="3"/>
        <v>22368746</v>
      </c>
      <c r="O28" s="1354">
        <f t="shared" si="3"/>
        <v>13326.307397372999</v>
      </c>
      <c r="P28" s="1353">
        <f t="shared" si="3"/>
        <v>1522495</v>
      </c>
      <c r="Q28" s="1354">
        <f t="shared" si="3"/>
        <v>1377.65658089868</v>
      </c>
      <c r="R28" s="1353">
        <f t="shared" si="3"/>
        <v>9143604</v>
      </c>
      <c r="S28" s="1354">
        <f t="shared" si="3"/>
        <v>4548.9042892340003</v>
      </c>
      <c r="T28" s="1353">
        <f t="shared" si="3"/>
        <v>1540947</v>
      </c>
      <c r="U28" s="1354">
        <f t="shared" si="3"/>
        <v>629.00407213825997</v>
      </c>
      <c r="V28" s="1353">
        <f t="shared" si="3"/>
        <v>40143187</v>
      </c>
      <c r="W28" s="1354">
        <f t="shared" si="3"/>
        <v>25624.596098830942</v>
      </c>
      <c r="X28" s="1354">
        <f>X40</f>
        <v>7507.0998574979994</v>
      </c>
      <c r="Y28" s="1353" t="s">
        <v>2166</v>
      </c>
      <c r="Z28" s="1353">
        <f t="shared" ref="Z28:AW28" si="4">Z29+Z30+Z31+Z32+Z33+Z34+Z35+Z36+Z37+Z38+Z39+Z40</f>
        <v>288240242</v>
      </c>
      <c r="AA28" s="1354">
        <f t="shared" si="4"/>
        <v>295272.32001764502</v>
      </c>
      <c r="AB28" s="1353">
        <f t="shared" si="4"/>
        <v>43588</v>
      </c>
      <c r="AC28" s="1354">
        <f t="shared" si="4"/>
        <v>91.441976603099988</v>
      </c>
      <c r="AD28" s="1353">
        <f t="shared" si="4"/>
        <v>21168832</v>
      </c>
      <c r="AE28" s="1353">
        <f t="shared" si="4"/>
        <v>7795.3005784440002</v>
      </c>
      <c r="AF28" s="1353">
        <f t="shared" si="4"/>
        <v>287315</v>
      </c>
      <c r="AG28" s="1353">
        <f t="shared" si="4"/>
        <v>158.35927568939999</v>
      </c>
      <c r="AH28" s="1353">
        <f t="shared" si="4"/>
        <v>22155076</v>
      </c>
      <c r="AI28" s="1354">
        <f t="shared" si="4"/>
        <v>4000.2566246310002</v>
      </c>
      <c r="AJ28" s="1353">
        <f t="shared" si="4"/>
        <v>680047</v>
      </c>
      <c r="AK28" s="1547">
        <f t="shared" si="4"/>
        <v>184.41482989099998</v>
      </c>
      <c r="AL28" s="1353">
        <f t="shared" si="4"/>
        <v>332575100</v>
      </c>
      <c r="AM28" s="1354">
        <f t="shared" si="4"/>
        <v>307502.09330290352</v>
      </c>
      <c r="AN28" s="1353">
        <f t="shared" si="4"/>
        <v>3546881</v>
      </c>
      <c r="AO28" s="1354">
        <f t="shared" si="4"/>
        <v>2232.7237356689998</v>
      </c>
      <c r="AP28" s="1353">
        <f t="shared" si="4"/>
        <v>1583371</v>
      </c>
      <c r="AQ28" s="1353">
        <f t="shared" si="4"/>
        <v>445.14578276359998</v>
      </c>
      <c r="AR28" s="1353">
        <f t="shared" si="4"/>
        <v>1139587</v>
      </c>
      <c r="AS28" s="1354">
        <f t="shared" si="4"/>
        <v>1295.7154900000003</v>
      </c>
      <c r="AT28" s="1353">
        <f t="shared" si="4"/>
        <v>1260346</v>
      </c>
      <c r="AU28" s="1354">
        <f t="shared" si="4"/>
        <v>1031.81594416695</v>
      </c>
      <c r="AV28" s="1353">
        <f t="shared" si="4"/>
        <v>741131</v>
      </c>
      <c r="AW28" s="1354">
        <f t="shared" si="4"/>
        <v>282.48465722899999</v>
      </c>
      <c r="AX28" s="1353" t="s">
        <v>2166</v>
      </c>
      <c r="AY28" s="1353">
        <f t="shared" ref="AY28:BB28" si="5">AY29+AY30+AY31+AY32+AY33+AY34+AY35+AY36+AY37+AY38+AY39+AY40</f>
        <v>3141064</v>
      </c>
      <c r="AZ28" s="1354">
        <f t="shared" si="5"/>
        <v>2610.0160913959503</v>
      </c>
      <c r="BA28" s="1353">
        <f t="shared" si="5"/>
        <v>380989603</v>
      </c>
      <c r="BB28" s="1354">
        <f t="shared" si="5"/>
        <v>338414.57501156308</v>
      </c>
      <c r="BC28" s="1353">
        <f>BC40</f>
        <v>1978196</v>
      </c>
      <c r="BD28" s="1546">
        <f>BD40</f>
        <v>27623986</v>
      </c>
      <c r="BE28" s="1546">
        <f>BE40</f>
        <v>1869559</v>
      </c>
      <c r="BF28" s="1353">
        <f t="shared" ref="BF28:BG28" si="6">BF40</f>
        <v>31471741</v>
      </c>
      <c r="BG28" s="1353">
        <f t="shared" si="6"/>
        <v>5355586</v>
      </c>
      <c r="BH28" s="1353">
        <f t="shared" ref="BH28:BI28" si="7">BH29+BH30+BH31+BH32+BH33+BH34+BH35+BH36+BH37+BH38+BH39+BH40</f>
        <v>54039568</v>
      </c>
      <c r="BI28" s="1354">
        <f t="shared" si="7"/>
        <v>224957.96134032117</v>
      </c>
      <c r="BJ28" s="1353">
        <f>BJ40</f>
        <v>1515665</v>
      </c>
      <c r="BK28" s="1353">
        <f t="shared" ref="BK28:BL28" si="8">BK29+BK30+BK31+BK32+BK33+BK34+BK35+BK36+BK37+BK38+BK39+BK40</f>
        <v>4769246590</v>
      </c>
      <c r="BL28" s="1354">
        <f t="shared" si="8"/>
        <v>990004.04799868248</v>
      </c>
      <c r="BM28" s="1353">
        <f>BM40</f>
        <v>178639642</v>
      </c>
      <c r="BN28" s="1353">
        <f>BN40</f>
        <v>14300</v>
      </c>
      <c r="BO28" s="1353">
        <f t="shared" ref="BO28:BP28" si="9">BO29+BO30+BO31+BO32+BO33+BO34+BO35+BO36+BO37+BO38+BO39+BO40</f>
        <v>162287061</v>
      </c>
      <c r="BP28" s="1354">
        <f t="shared" si="9"/>
        <v>564845.24125884299</v>
      </c>
      <c r="BQ28" s="1353">
        <f>BQ40</f>
        <v>16073962</v>
      </c>
      <c r="BR28" s="1353">
        <f>BR40</f>
        <v>13036</v>
      </c>
      <c r="BS28" s="1353">
        <f>BS40</f>
        <v>101341</v>
      </c>
    </row>
    <row r="29" spans="1:73" s="198" customFormat="1" ht="12.6" customHeight="1">
      <c r="A29" s="627" t="s">
        <v>606</v>
      </c>
      <c r="B29" s="627">
        <v>1235753</v>
      </c>
      <c r="C29" s="913">
        <v>164576.45775991795</v>
      </c>
      <c r="D29" s="627">
        <v>36053</v>
      </c>
      <c r="E29" s="913">
        <v>579.05490550700006</v>
      </c>
      <c r="F29" s="627">
        <v>1271806</v>
      </c>
      <c r="G29" s="913">
        <v>165155.51266542493</v>
      </c>
      <c r="H29" s="627">
        <v>18032049</v>
      </c>
      <c r="I29" s="913">
        <v>43678.712935484989</v>
      </c>
      <c r="J29" s="627">
        <v>294229</v>
      </c>
      <c r="K29" s="913">
        <v>300.588309487</v>
      </c>
      <c r="L29" s="627">
        <v>847</v>
      </c>
      <c r="M29" s="913">
        <v>1.9677314247499997</v>
      </c>
      <c r="N29" s="627">
        <v>1132758</v>
      </c>
      <c r="O29" s="913">
        <v>764.40335136499993</v>
      </c>
      <c r="P29" s="627">
        <v>64148</v>
      </c>
      <c r="Q29" s="913">
        <v>40.001898201599992</v>
      </c>
      <c r="R29" s="627">
        <v>667093</v>
      </c>
      <c r="S29" s="913">
        <v>338.28088036700001</v>
      </c>
      <c r="T29" s="627">
        <v>86982</v>
      </c>
      <c r="U29" s="913">
        <v>41.314262066199987</v>
      </c>
      <c r="V29" s="627">
        <v>2246057</v>
      </c>
      <c r="W29" s="913">
        <v>1486.5564329115498</v>
      </c>
      <c r="X29" s="913">
        <v>6333.6870533660003</v>
      </c>
      <c r="Y29" s="627" t="s">
        <v>606</v>
      </c>
      <c r="Z29" s="627">
        <v>20138764</v>
      </c>
      <c r="AA29" s="913">
        <v>20998.805196596993</v>
      </c>
      <c r="AB29" s="627">
        <v>1014</v>
      </c>
      <c r="AC29" s="913">
        <v>2.7403223640000007</v>
      </c>
      <c r="AD29" s="627">
        <v>1133274</v>
      </c>
      <c r="AE29" s="913">
        <v>462.15950501500009</v>
      </c>
      <c r="AF29" s="627">
        <v>13333</v>
      </c>
      <c r="AG29" s="913">
        <v>3.6725846579999999</v>
      </c>
      <c r="AH29" s="627">
        <v>1472570</v>
      </c>
      <c r="AI29" s="913">
        <v>308.47598892999997</v>
      </c>
      <c r="AJ29" s="627">
        <v>32645</v>
      </c>
      <c r="AK29" s="913">
        <v>8.0919102790000004</v>
      </c>
      <c r="AL29" s="627">
        <v>22791600</v>
      </c>
      <c r="AM29" s="913">
        <v>21783.945507842993</v>
      </c>
      <c r="AN29" s="627">
        <v>297771</v>
      </c>
      <c r="AO29" s="913">
        <v>206.25381715699999</v>
      </c>
      <c r="AP29" s="627">
        <v>78911</v>
      </c>
      <c r="AQ29" s="913">
        <v>20.347541959699999</v>
      </c>
      <c r="AR29" s="627">
        <v>71808</v>
      </c>
      <c r="AS29" s="913">
        <v>86.600750000000005</v>
      </c>
      <c r="AT29" s="627">
        <v>61708</v>
      </c>
      <c r="AU29" s="913">
        <v>56.490720589700011</v>
      </c>
      <c r="AV29" s="627">
        <v>54390</v>
      </c>
      <c r="AW29" s="913">
        <v>20.574379321999999</v>
      </c>
      <c r="AX29" s="627" t="s">
        <v>606</v>
      </c>
      <c r="AY29" s="627">
        <v>187906</v>
      </c>
      <c r="AZ29" s="913">
        <v>163.66584991170001</v>
      </c>
      <c r="BA29" s="627">
        <v>25602245</v>
      </c>
      <c r="BB29" s="913">
        <v>23660.769149782947</v>
      </c>
      <c r="BC29" s="627">
        <v>1737932</v>
      </c>
      <c r="BD29" s="627">
        <v>23620886</v>
      </c>
      <c r="BE29" s="627">
        <v>954673</v>
      </c>
      <c r="BF29" s="627">
        <v>26313491</v>
      </c>
      <c r="BG29" s="627">
        <v>3822834</v>
      </c>
      <c r="BH29" s="627">
        <v>3700893</v>
      </c>
      <c r="BI29" s="913">
        <v>12768.772168597019</v>
      </c>
      <c r="BJ29" s="627">
        <v>1395455</v>
      </c>
      <c r="BK29" s="627">
        <v>381554769</v>
      </c>
      <c r="BL29" s="913">
        <v>77645.904801523386</v>
      </c>
      <c r="BM29" s="627">
        <v>156026369</v>
      </c>
      <c r="BN29" s="627">
        <v>13086</v>
      </c>
      <c r="BO29" s="627">
        <v>11150939</v>
      </c>
      <c r="BP29" s="913">
        <v>32523.180197034995</v>
      </c>
      <c r="BQ29" s="627">
        <v>12360576</v>
      </c>
      <c r="BR29" s="627">
        <v>12367</v>
      </c>
      <c r="BS29" s="627">
        <v>82449</v>
      </c>
    </row>
    <row r="30" spans="1:73" s="198" customFormat="1" ht="12.6" customHeight="1">
      <c r="A30" s="916" t="s">
        <v>607</v>
      </c>
      <c r="B30" s="916">
        <v>1579424</v>
      </c>
      <c r="C30" s="915">
        <v>186297.57348331407</v>
      </c>
      <c r="D30" s="916">
        <v>34371</v>
      </c>
      <c r="E30" s="915">
        <v>501.17102826299998</v>
      </c>
      <c r="F30" s="916">
        <v>1613795</v>
      </c>
      <c r="G30" s="915">
        <v>186798.74451157707</v>
      </c>
      <c r="H30" s="916">
        <v>7390816</v>
      </c>
      <c r="I30" s="915">
        <v>43265.959765079009</v>
      </c>
      <c r="J30" s="916">
        <v>325301</v>
      </c>
      <c r="K30" s="915">
        <v>310.13119354400004</v>
      </c>
      <c r="L30" s="916">
        <v>1231</v>
      </c>
      <c r="M30" s="915">
        <v>2.9093899204500002</v>
      </c>
      <c r="N30" s="916">
        <v>1514289</v>
      </c>
      <c r="O30" s="915">
        <v>910.93181396099988</v>
      </c>
      <c r="P30" s="916">
        <v>83055</v>
      </c>
      <c r="Q30" s="915">
        <v>58.238596877979994</v>
      </c>
      <c r="R30" s="916">
        <v>713283</v>
      </c>
      <c r="S30" s="915">
        <v>342.35376229100007</v>
      </c>
      <c r="T30" s="916">
        <v>132832</v>
      </c>
      <c r="U30" s="915">
        <v>49.865668044929997</v>
      </c>
      <c r="V30" s="916">
        <v>2769991</v>
      </c>
      <c r="W30" s="915">
        <v>1674.4304246393599</v>
      </c>
      <c r="X30" s="915">
        <v>6399.2341710999999</v>
      </c>
      <c r="Y30" s="916" t="s">
        <v>607</v>
      </c>
      <c r="Z30" s="916">
        <v>20150016</v>
      </c>
      <c r="AA30" s="915">
        <v>20057.503033057001</v>
      </c>
      <c r="AB30" s="916">
        <v>1487</v>
      </c>
      <c r="AC30" s="915">
        <v>3.8668276523999996</v>
      </c>
      <c r="AD30" s="916">
        <v>1403366</v>
      </c>
      <c r="AE30" s="915">
        <v>536.75395848499988</v>
      </c>
      <c r="AF30" s="916">
        <v>14451</v>
      </c>
      <c r="AG30" s="915">
        <v>6.1575962190000002</v>
      </c>
      <c r="AH30" s="916">
        <v>1662218</v>
      </c>
      <c r="AI30" s="915">
        <v>317.43341209199997</v>
      </c>
      <c r="AJ30" s="916">
        <v>43558</v>
      </c>
      <c r="AK30" s="915">
        <v>13.076872040000001</v>
      </c>
      <c r="AL30" s="916">
        <v>23275096</v>
      </c>
      <c r="AM30" s="915">
        <v>20934.7916995454</v>
      </c>
      <c r="AN30" s="916">
        <v>254584</v>
      </c>
      <c r="AO30" s="915">
        <v>151.379186557</v>
      </c>
      <c r="AP30" s="916">
        <v>127676</v>
      </c>
      <c r="AQ30" s="915">
        <v>28.13007499255</v>
      </c>
      <c r="AR30" s="916">
        <v>73231</v>
      </c>
      <c r="AS30" s="915">
        <v>81.590330000000009</v>
      </c>
      <c r="AT30" s="916">
        <v>86062</v>
      </c>
      <c r="AU30" s="915">
        <v>68.906508597999988</v>
      </c>
      <c r="AV30" s="916">
        <v>60255</v>
      </c>
      <c r="AW30" s="915">
        <v>18.905738992999996</v>
      </c>
      <c r="AX30" s="916" t="s">
        <v>607</v>
      </c>
      <c r="AY30" s="916">
        <v>219548</v>
      </c>
      <c r="AZ30" s="915">
        <v>169.40257759100001</v>
      </c>
      <c r="BA30" s="916">
        <v>26646895</v>
      </c>
      <c r="BB30" s="915">
        <v>22958.133963325308</v>
      </c>
      <c r="BC30" s="916">
        <v>1746763</v>
      </c>
      <c r="BD30" s="916">
        <v>23865558</v>
      </c>
      <c r="BE30" s="916">
        <v>981158</v>
      </c>
      <c r="BF30" s="916">
        <v>26593479</v>
      </c>
      <c r="BG30" s="916">
        <v>3912195</v>
      </c>
      <c r="BH30" s="916">
        <v>3611919</v>
      </c>
      <c r="BI30" s="915">
        <v>15281.318395811677</v>
      </c>
      <c r="BJ30" s="916">
        <v>1421933</v>
      </c>
      <c r="BK30" s="916">
        <v>369127935</v>
      </c>
      <c r="BL30" s="915">
        <v>71229.455459309</v>
      </c>
      <c r="BM30" s="916">
        <v>159013728</v>
      </c>
      <c r="BN30" s="916">
        <v>13160</v>
      </c>
      <c r="BO30" s="916">
        <v>10557594</v>
      </c>
      <c r="BP30" s="915">
        <v>37512.935063650984</v>
      </c>
      <c r="BQ30" s="916">
        <v>12605017</v>
      </c>
      <c r="BR30" s="916">
        <v>12425</v>
      </c>
      <c r="BS30" s="916">
        <v>83541</v>
      </c>
    </row>
    <row r="31" spans="1:73" s="198" customFormat="1" ht="12.6" customHeight="1">
      <c r="A31" s="1356" t="s">
        <v>601</v>
      </c>
      <c r="B31" s="1356">
        <v>1903419</v>
      </c>
      <c r="C31" s="1357">
        <v>221194.79354262009</v>
      </c>
      <c r="D31" s="1356">
        <v>33888</v>
      </c>
      <c r="E31" s="1357">
        <v>450.01962168700004</v>
      </c>
      <c r="F31" s="627">
        <v>1937307</v>
      </c>
      <c r="G31" s="913">
        <v>221644.8131643071</v>
      </c>
      <c r="H31" s="1356">
        <v>7742407</v>
      </c>
      <c r="I31" s="1357">
        <v>44162.872666120005</v>
      </c>
      <c r="J31" s="1356">
        <v>367674</v>
      </c>
      <c r="K31" s="1357">
        <v>348.42900098199999</v>
      </c>
      <c r="L31" s="1356">
        <v>1629</v>
      </c>
      <c r="M31" s="1357">
        <v>3.3075337561499993</v>
      </c>
      <c r="N31" s="1356">
        <v>1711870</v>
      </c>
      <c r="O31" s="1357">
        <v>1028.9352436929998</v>
      </c>
      <c r="P31" s="1356">
        <v>99209</v>
      </c>
      <c r="Q31" s="1357">
        <v>69.841649383600014</v>
      </c>
      <c r="R31" s="1356">
        <v>716343</v>
      </c>
      <c r="S31" s="1357">
        <v>338.34500423399999</v>
      </c>
      <c r="T31" s="1356">
        <v>134671</v>
      </c>
      <c r="U31" s="1357">
        <v>50.838815874200009</v>
      </c>
      <c r="V31" s="1356">
        <v>3031396</v>
      </c>
      <c r="W31" s="1357">
        <v>1839.6972479229501</v>
      </c>
      <c r="X31" s="1357">
        <v>6510.771159455001</v>
      </c>
      <c r="Y31" s="1356" t="s">
        <v>601</v>
      </c>
      <c r="Z31" s="1356">
        <v>21480577</v>
      </c>
      <c r="AA31" s="1357">
        <v>21567.728490091009</v>
      </c>
      <c r="AB31" s="1356">
        <v>1705</v>
      </c>
      <c r="AC31" s="1357">
        <v>4.382979132</v>
      </c>
      <c r="AD31" s="1356">
        <v>1635362</v>
      </c>
      <c r="AE31" s="1357">
        <v>606.62209117299994</v>
      </c>
      <c r="AF31" s="1356">
        <v>18459</v>
      </c>
      <c r="AG31" s="1357">
        <v>7.9610742480000001</v>
      </c>
      <c r="AH31" s="1356">
        <v>1627735</v>
      </c>
      <c r="AI31" s="1357">
        <v>320.43006781899999</v>
      </c>
      <c r="AJ31" s="1356">
        <v>50840</v>
      </c>
      <c r="AK31" s="1357">
        <v>15.041898937000001</v>
      </c>
      <c r="AL31" s="1356">
        <v>24814678</v>
      </c>
      <c r="AM31" s="1357">
        <v>22522.166601400011</v>
      </c>
      <c r="AN31" s="1356">
        <v>269985</v>
      </c>
      <c r="AO31" s="1357">
        <v>165.85792895100002</v>
      </c>
      <c r="AP31" s="1356">
        <v>147487</v>
      </c>
      <c r="AQ31" s="1357">
        <v>33.176860486999999</v>
      </c>
      <c r="AR31" s="1356">
        <v>82886</v>
      </c>
      <c r="AS31" s="1357">
        <v>94.058159999999987</v>
      </c>
      <c r="AT31" s="1356">
        <v>97056</v>
      </c>
      <c r="AU31" s="1357">
        <v>73.45076796699999</v>
      </c>
      <c r="AV31" s="1356">
        <v>54706</v>
      </c>
      <c r="AW31" s="1357">
        <v>17.147082269999999</v>
      </c>
      <c r="AX31" s="1356" t="s">
        <v>601</v>
      </c>
      <c r="AY31" s="1356">
        <v>234648</v>
      </c>
      <c r="AZ31" s="1357">
        <v>184.65601023699998</v>
      </c>
      <c r="BA31" s="1356">
        <v>28498194</v>
      </c>
      <c r="BB31" s="1357">
        <v>24745.554648997964</v>
      </c>
      <c r="BC31" s="1356">
        <v>1762978</v>
      </c>
      <c r="BD31" s="1356">
        <v>24225164</v>
      </c>
      <c r="BE31" s="1356">
        <v>1026580</v>
      </c>
      <c r="BF31" s="1356">
        <v>27014722</v>
      </c>
      <c r="BG31" s="1356">
        <v>4025434</v>
      </c>
      <c r="BH31" s="1356">
        <v>3799414</v>
      </c>
      <c r="BI31" s="1357">
        <v>16862.599999999999</v>
      </c>
      <c r="BJ31" s="1356">
        <v>1411192</v>
      </c>
      <c r="BK31" s="1356">
        <v>365210917</v>
      </c>
      <c r="BL31" s="1357">
        <v>74248.534020512001</v>
      </c>
      <c r="BM31" s="1356">
        <v>162095327</v>
      </c>
      <c r="BN31" s="1356">
        <v>13467</v>
      </c>
      <c r="BO31" s="1356">
        <v>11171328</v>
      </c>
      <c r="BP31" s="1357">
        <v>42370.153202788009</v>
      </c>
      <c r="BQ31" s="1356">
        <v>12911018</v>
      </c>
      <c r="BR31" s="1356">
        <v>12495</v>
      </c>
      <c r="BS31" s="1356">
        <v>85817</v>
      </c>
    </row>
    <row r="32" spans="1:73" s="198" customFormat="1" ht="12.6" customHeight="1">
      <c r="A32" s="1358" t="s">
        <v>608</v>
      </c>
      <c r="B32" s="1358">
        <v>1770888</v>
      </c>
      <c r="C32" s="1359">
        <v>202462.296492208</v>
      </c>
      <c r="D32" s="1358">
        <v>31558</v>
      </c>
      <c r="E32" s="1359">
        <v>3064.2088966939996</v>
      </c>
      <c r="F32" s="916">
        <v>1802446</v>
      </c>
      <c r="G32" s="915">
        <v>205526.50538890201</v>
      </c>
      <c r="H32" s="1358">
        <v>9220208</v>
      </c>
      <c r="I32" s="1359">
        <v>44494.459862921009</v>
      </c>
      <c r="J32" s="1358">
        <v>410394</v>
      </c>
      <c r="K32" s="1359">
        <v>398.26932622399994</v>
      </c>
      <c r="L32" s="1358">
        <v>3212</v>
      </c>
      <c r="M32" s="1359">
        <v>4.4196079291499997</v>
      </c>
      <c r="N32" s="1358">
        <v>1818705</v>
      </c>
      <c r="O32" s="1359">
        <v>1070.4054986859999</v>
      </c>
      <c r="P32" s="1358">
        <v>118797</v>
      </c>
      <c r="Q32" s="1359">
        <v>103.64007422159999</v>
      </c>
      <c r="R32" s="1358">
        <v>715865</v>
      </c>
      <c r="S32" s="1359">
        <v>329.02056945200002</v>
      </c>
      <c r="T32" s="1358">
        <v>136851</v>
      </c>
      <c r="U32" s="1359">
        <v>58.528025137499995</v>
      </c>
      <c r="V32" s="1358">
        <v>3203824</v>
      </c>
      <c r="W32" s="1359">
        <v>1964.2831016502496</v>
      </c>
      <c r="X32" s="1359">
        <v>6681.1284291169995</v>
      </c>
      <c r="Y32" s="1358" t="s">
        <v>608</v>
      </c>
      <c r="Z32" s="1358">
        <v>22281925</v>
      </c>
      <c r="AA32" s="1359">
        <v>22173.372455720004</v>
      </c>
      <c r="AB32" s="1358">
        <v>2245</v>
      </c>
      <c r="AC32" s="1359">
        <v>4.6866773630000003</v>
      </c>
      <c r="AD32" s="1358">
        <v>1721050</v>
      </c>
      <c r="AE32" s="1359">
        <v>632.31953849300021</v>
      </c>
      <c r="AF32" s="1358">
        <v>20411</v>
      </c>
      <c r="AG32" s="1359">
        <v>10.782154884000001</v>
      </c>
      <c r="AH32" s="1358">
        <v>1575736</v>
      </c>
      <c r="AI32" s="1359">
        <v>289.67312253599999</v>
      </c>
      <c r="AJ32" s="1358">
        <v>53655</v>
      </c>
      <c r="AK32" s="1359">
        <v>15.451374351999998</v>
      </c>
      <c r="AL32" s="1358">
        <v>25655022</v>
      </c>
      <c r="AM32" s="1359">
        <v>23126.285323348005</v>
      </c>
      <c r="AN32" s="1358">
        <v>274249</v>
      </c>
      <c r="AO32" s="1359">
        <v>167.31234587399993</v>
      </c>
      <c r="AP32" s="1358">
        <v>179532</v>
      </c>
      <c r="AQ32" s="1359">
        <v>33.897674557000002</v>
      </c>
      <c r="AR32" s="1358">
        <v>91683</v>
      </c>
      <c r="AS32" s="1359">
        <v>102.28888999999998</v>
      </c>
      <c r="AT32" s="1358">
        <v>113017</v>
      </c>
      <c r="AU32" s="1359">
        <v>88.977779075000015</v>
      </c>
      <c r="AV32" s="1358">
        <v>58722</v>
      </c>
      <c r="AW32" s="1359">
        <v>18.180474414999999</v>
      </c>
      <c r="AX32" s="1358" t="s">
        <v>608</v>
      </c>
      <c r="AY32" s="1358">
        <v>263422</v>
      </c>
      <c r="AZ32" s="1359">
        <v>209.44714348999997</v>
      </c>
      <c r="BA32" s="1358">
        <v>29576049</v>
      </c>
      <c r="BB32" s="1359">
        <v>25501.225588919257</v>
      </c>
      <c r="BC32" s="1358">
        <v>1779794</v>
      </c>
      <c r="BD32" s="1358">
        <v>24675363</v>
      </c>
      <c r="BE32" s="1358">
        <v>1075009</v>
      </c>
      <c r="BF32" s="1358">
        <v>27530166</v>
      </c>
      <c r="BG32" s="1358">
        <v>4158419</v>
      </c>
      <c r="BH32" s="1358">
        <v>4070877</v>
      </c>
      <c r="BI32" s="1359">
        <v>15558.281767685687</v>
      </c>
      <c r="BJ32" s="1358">
        <v>1431364</v>
      </c>
      <c r="BK32" s="1358">
        <v>376249253</v>
      </c>
      <c r="BL32" s="1359">
        <v>76725.320824984985</v>
      </c>
      <c r="BM32" s="1358">
        <v>164619367</v>
      </c>
      <c r="BN32" s="1358">
        <v>13591</v>
      </c>
      <c r="BO32" s="1358">
        <v>11513278</v>
      </c>
      <c r="BP32" s="1359">
        <v>42072.363378067996</v>
      </c>
      <c r="BQ32" s="1358">
        <v>13189535</v>
      </c>
      <c r="BR32" s="1358">
        <v>12567</v>
      </c>
      <c r="BS32" s="1358">
        <v>87417</v>
      </c>
      <c r="BU32" s="1544"/>
    </row>
    <row r="33" spans="1:73" s="198" customFormat="1" ht="12.6" customHeight="1">
      <c r="A33" s="1356" t="s">
        <v>609</v>
      </c>
      <c r="B33" s="1356">
        <v>1900797</v>
      </c>
      <c r="C33" s="1357">
        <v>209510.19422118407</v>
      </c>
      <c r="D33" s="1356">
        <v>30722</v>
      </c>
      <c r="E33" s="1357">
        <v>377.05998358300002</v>
      </c>
      <c r="F33" s="627">
        <v>1931519</v>
      </c>
      <c r="G33" s="913">
        <v>209887.25420476706</v>
      </c>
      <c r="H33" s="1356">
        <v>15729267</v>
      </c>
      <c r="I33" s="1357">
        <v>46772.188545958001</v>
      </c>
      <c r="J33" s="1356">
        <v>460525</v>
      </c>
      <c r="K33" s="1357">
        <v>450.16549999200009</v>
      </c>
      <c r="L33" s="1356">
        <v>2678</v>
      </c>
      <c r="M33" s="1357">
        <v>5.3135209535500012</v>
      </c>
      <c r="N33" s="1356">
        <v>1840658</v>
      </c>
      <c r="O33" s="1357">
        <v>1075.8782230890001</v>
      </c>
      <c r="P33" s="1356">
        <v>128543</v>
      </c>
      <c r="Q33" s="1357">
        <v>118.01439479799998</v>
      </c>
      <c r="R33" s="1356">
        <v>800455</v>
      </c>
      <c r="S33" s="1357">
        <v>388.77463622399995</v>
      </c>
      <c r="T33" s="1356">
        <v>137349</v>
      </c>
      <c r="U33" s="1357">
        <v>54.248931625400012</v>
      </c>
      <c r="V33" s="1356">
        <v>3370208</v>
      </c>
      <c r="W33" s="1357">
        <v>2092.3952066819502</v>
      </c>
      <c r="X33" s="1357">
        <v>6813.1702359789997</v>
      </c>
      <c r="Y33" s="1356" t="s">
        <v>609</v>
      </c>
      <c r="Z33" s="1356">
        <v>22693553</v>
      </c>
      <c r="AA33" s="1357">
        <v>22213.762971710006</v>
      </c>
      <c r="AB33" s="1356">
        <v>2884</v>
      </c>
      <c r="AC33" s="1357">
        <v>5.1887718899500008</v>
      </c>
      <c r="AD33" s="1356">
        <v>1778182</v>
      </c>
      <c r="AE33" s="1357">
        <v>641.12824451600011</v>
      </c>
      <c r="AF33" s="1356">
        <v>20491</v>
      </c>
      <c r="AG33" s="1357">
        <v>12.0646708816</v>
      </c>
      <c r="AH33" s="1356">
        <v>1611678</v>
      </c>
      <c r="AI33" s="1357">
        <v>291.37964958999999</v>
      </c>
      <c r="AJ33" s="1356">
        <v>49607</v>
      </c>
      <c r="AK33" s="1357">
        <v>14.993300797000002</v>
      </c>
      <c r="AL33" s="1356">
        <v>26156395</v>
      </c>
      <c r="AM33" s="1357">
        <v>23178.517609384551</v>
      </c>
      <c r="AN33" s="1356">
        <v>261658</v>
      </c>
      <c r="AO33" s="1357">
        <v>168.16993821999998</v>
      </c>
      <c r="AP33" s="1356">
        <v>138261</v>
      </c>
      <c r="AQ33" s="1357">
        <v>32.410279254849996</v>
      </c>
      <c r="AR33" s="1356">
        <v>95942</v>
      </c>
      <c r="AS33" s="1357">
        <v>106.47660999999997</v>
      </c>
      <c r="AT33" s="1356">
        <v>119123</v>
      </c>
      <c r="AU33" s="1357">
        <v>98.848366163999998</v>
      </c>
      <c r="AV33" s="1356">
        <v>57798</v>
      </c>
      <c r="AW33" s="1357">
        <v>20.043510759</v>
      </c>
      <c r="AX33" s="1356" t="s">
        <v>609</v>
      </c>
      <c r="AY33" s="1356">
        <v>272863</v>
      </c>
      <c r="AZ33" s="1357">
        <v>225.36848692299998</v>
      </c>
      <c r="BA33" s="1356">
        <v>30199385</v>
      </c>
      <c r="BB33" s="1357">
        <v>25696.86152046435</v>
      </c>
      <c r="BC33" s="1356">
        <v>1802876</v>
      </c>
      <c r="BD33" s="1356">
        <v>24999319</v>
      </c>
      <c r="BE33" s="1356">
        <v>1130272</v>
      </c>
      <c r="BF33" s="1356">
        <v>27932467</v>
      </c>
      <c r="BG33" s="1356">
        <v>4306170</v>
      </c>
      <c r="BH33" s="1356">
        <v>3983288</v>
      </c>
      <c r="BI33" s="1357">
        <v>17009.394527376</v>
      </c>
      <c r="BJ33" s="1356">
        <v>1388741</v>
      </c>
      <c r="BK33" s="1356">
        <v>376260335</v>
      </c>
      <c r="BL33" s="1357">
        <v>78584.118753516988</v>
      </c>
      <c r="BM33" s="1356">
        <v>167005492</v>
      </c>
      <c r="BN33" s="1356">
        <v>13753</v>
      </c>
      <c r="BO33" s="1356">
        <v>13846787</v>
      </c>
      <c r="BP33" s="1357">
        <v>45381.954389071994</v>
      </c>
      <c r="BQ33" s="1356">
        <v>13507106</v>
      </c>
      <c r="BR33" s="1356">
        <v>12652</v>
      </c>
      <c r="BS33" s="1356">
        <v>88776</v>
      </c>
    </row>
    <row r="34" spans="1:73" s="198" customFormat="1" ht="12.6" customHeight="1">
      <c r="A34" s="1358" t="s">
        <v>602</v>
      </c>
      <c r="B34" s="1358">
        <v>1922957</v>
      </c>
      <c r="C34" s="1359">
        <v>233537.99269770601</v>
      </c>
      <c r="D34" s="1358">
        <v>24812</v>
      </c>
      <c r="E34" s="1359">
        <v>253.40989335</v>
      </c>
      <c r="F34" s="916">
        <v>1947769</v>
      </c>
      <c r="G34" s="915">
        <v>233791.40259105602</v>
      </c>
      <c r="H34" s="1358">
        <v>9608390</v>
      </c>
      <c r="I34" s="1359">
        <v>47253.709872514999</v>
      </c>
      <c r="J34" s="1358">
        <v>487891</v>
      </c>
      <c r="K34" s="1359">
        <v>492.24236113000001</v>
      </c>
      <c r="L34" s="1358">
        <v>2750</v>
      </c>
      <c r="M34" s="1359">
        <v>4.9982394561999985</v>
      </c>
      <c r="N34" s="1358">
        <v>1948816</v>
      </c>
      <c r="O34" s="1359">
        <v>1175.7723725399999</v>
      </c>
      <c r="P34" s="1358">
        <v>125114</v>
      </c>
      <c r="Q34" s="1359">
        <v>114.93624128869999</v>
      </c>
      <c r="R34" s="1358">
        <v>778310</v>
      </c>
      <c r="S34" s="1359">
        <v>385.99476495900012</v>
      </c>
      <c r="T34" s="1358">
        <v>128991</v>
      </c>
      <c r="U34" s="1359">
        <v>55.036242900650002</v>
      </c>
      <c r="V34" s="1358">
        <v>3471872</v>
      </c>
      <c r="W34" s="1359">
        <v>2228.9802222745502</v>
      </c>
      <c r="X34" s="1359">
        <v>6944.243368677</v>
      </c>
      <c r="Y34" s="1358" t="s">
        <v>602</v>
      </c>
      <c r="Z34" s="1358">
        <v>23517987</v>
      </c>
      <c r="AA34" s="1359">
        <v>23320.486913219996</v>
      </c>
      <c r="AB34" s="1358">
        <v>4305</v>
      </c>
      <c r="AC34" s="1359">
        <v>8.4184159550000004</v>
      </c>
      <c r="AD34" s="1358">
        <v>1843500</v>
      </c>
      <c r="AE34" s="1359">
        <v>682.11068501399973</v>
      </c>
      <c r="AF34" s="1358">
        <v>24630</v>
      </c>
      <c r="AG34" s="1359">
        <v>12.770804625999999</v>
      </c>
      <c r="AH34" s="1358">
        <v>1659356</v>
      </c>
      <c r="AI34" s="1359">
        <v>314.22435338699995</v>
      </c>
      <c r="AJ34" s="1358">
        <v>67243</v>
      </c>
      <c r="AK34" s="1359">
        <v>18.960791286999999</v>
      </c>
      <c r="AL34" s="1358">
        <v>27117021</v>
      </c>
      <c r="AM34" s="1359">
        <v>24356.971963488995</v>
      </c>
      <c r="AN34" s="1358">
        <v>272921</v>
      </c>
      <c r="AO34" s="1359">
        <v>179.93944547699999</v>
      </c>
      <c r="AP34" s="1358">
        <v>138215</v>
      </c>
      <c r="AQ34" s="1359">
        <v>35.037691775550002</v>
      </c>
      <c r="AR34" s="1358">
        <v>125251</v>
      </c>
      <c r="AS34" s="1359">
        <v>136.04496</v>
      </c>
      <c r="AT34" s="1358">
        <v>147881</v>
      </c>
      <c r="AU34" s="1359">
        <v>118.28893613720001</v>
      </c>
      <c r="AV34" s="1358">
        <v>48693</v>
      </c>
      <c r="AW34" s="1359">
        <v>19.323091163999997</v>
      </c>
      <c r="AX34" s="1358" t="s">
        <v>602</v>
      </c>
      <c r="AY34" s="1358">
        <v>321825</v>
      </c>
      <c r="AZ34" s="1359">
        <v>273.65698730119999</v>
      </c>
      <c r="BA34" s="1392">
        <v>31321854</v>
      </c>
      <c r="BB34" s="1359">
        <v>27074.586310317296</v>
      </c>
      <c r="BC34" s="1358">
        <v>1833242</v>
      </c>
      <c r="BD34" s="1358">
        <v>25285859</v>
      </c>
      <c r="BE34" s="1358">
        <v>1154901</v>
      </c>
      <c r="BF34" s="1358">
        <v>28274002</v>
      </c>
      <c r="BG34" s="1358">
        <v>4439938</v>
      </c>
      <c r="BH34" s="1358">
        <v>4299401</v>
      </c>
      <c r="BI34" s="1359">
        <v>20558.932781705</v>
      </c>
      <c r="BJ34" s="1358">
        <v>1412767</v>
      </c>
      <c r="BK34" s="1358">
        <v>391636834</v>
      </c>
      <c r="BL34" s="1359">
        <v>81099.127387726723</v>
      </c>
      <c r="BM34" s="1358">
        <v>169722031</v>
      </c>
      <c r="BN34" s="1358">
        <v>13951</v>
      </c>
      <c r="BO34" s="1358">
        <v>13984633</v>
      </c>
      <c r="BP34" s="1359">
        <v>49139.286617982994</v>
      </c>
      <c r="BQ34" s="1358">
        <v>14047396</v>
      </c>
      <c r="BR34" s="1358">
        <v>12831</v>
      </c>
      <c r="BS34" s="1358">
        <v>92086</v>
      </c>
    </row>
    <row r="35" spans="1:73" s="198" customFormat="1" ht="12.6" customHeight="1">
      <c r="A35" s="1356" t="s">
        <v>610</v>
      </c>
      <c r="B35" s="1356">
        <v>1990096</v>
      </c>
      <c r="C35" s="1357">
        <v>219165.90039558904</v>
      </c>
      <c r="D35" s="1356">
        <v>21317</v>
      </c>
      <c r="E35" s="1357">
        <v>258.63001461700003</v>
      </c>
      <c r="F35" s="627">
        <v>2011413</v>
      </c>
      <c r="G35" s="913">
        <v>219424.53041020603</v>
      </c>
      <c r="H35" s="1356">
        <v>21069894</v>
      </c>
      <c r="I35" s="1357">
        <v>51636.257107776</v>
      </c>
      <c r="J35" s="1356">
        <v>491194</v>
      </c>
      <c r="K35" s="1357">
        <v>510.35974188900002</v>
      </c>
      <c r="L35" s="1356">
        <v>2114</v>
      </c>
      <c r="M35" s="1357">
        <v>4.0691324765500001</v>
      </c>
      <c r="N35" s="1356">
        <v>1939894</v>
      </c>
      <c r="O35" s="1357">
        <v>1115.9255265250001</v>
      </c>
      <c r="P35" s="1356">
        <v>106587</v>
      </c>
      <c r="Q35" s="1357">
        <v>91.704788560600008</v>
      </c>
      <c r="R35" s="1356">
        <v>765468</v>
      </c>
      <c r="S35" s="1357">
        <v>363.28983351299996</v>
      </c>
      <c r="T35" s="1356">
        <v>124135</v>
      </c>
      <c r="U35" s="1357">
        <v>53.029834403150005</v>
      </c>
      <c r="V35" s="1356">
        <v>3429392</v>
      </c>
      <c r="W35" s="1357">
        <v>2138.3788573673</v>
      </c>
      <c r="X35" s="1357">
        <v>6973.3305707179989</v>
      </c>
      <c r="Y35" s="1356" t="s">
        <v>610</v>
      </c>
      <c r="Z35" s="1356">
        <v>23522301</v>
      </c>
      <c r="AA35" s="1357">
        <v>23678.081140039998</v>
      </c>
      <c r="AB35" s="1356">
        <v>2951</v>
      </c>
      <c r="AC35" s="1357">
        <v>6.033788841999999</v>
      </c>
      <c r="AD35" s="1356">
        <v>1774600</v>
      </c>
      <c r="AE35" s="1357">
        <v>657.07922867399975</v>
      </c>
      <c r="AF35" s="1356">
        <v>24821</v>
      </c>
      <c r="AG35" s="1357">
        <v>11.921848470000002</v>
      </c>
      <c r="AH35" s="1356">
        <v>1723783</v>
      </c>
      <c r="AI35" s="1357">
        <v>331.02529038199998</v>
      </c>
      <c r="AJ35" s="1356">
        <v>60566</v>
      </c>
      <c r="AK35" s="1357">
        <v>16.844941899999998</v>
      </c>
      <c r="AL35" s="1356">
        <v>27109022</v>
      </c>
      <c r="AM35" s="1357">
        <v>24700.986238307996</v>
      </c>
      <c r="AN35" s="1356">
        <v>310991</v>
      </c>
      <c r="AO35" s="1357">
        <v>197.151202369</v>
      </c>
      <c r="AP35" s="1356">
        <v>130755</v>
      </c>
      <c r="AQ35" s="1357">
        <v>35.913391338500006</v>
      </c>
      <c r="AR35" s="1356">
        <v>110162</v>
      </c>
      <c r="AS35" s="1357">
        <v>125.07638</v>
      </c>
      <c r="AT35" s="1356">
        <v>151303</v>
      </c>
      <c r="AU35" s="1357">
        <v>120.026409368</v>
      </c>
      <c r="AV35" s="1356">
        <v>68009</v>
      </c>
      <c r="AW35" s="1357">
        <v>24.168185911999998</v>
      </c>
      <c r="AX35" s="1356" t="s">
        <v>610</v>
      </c>
      <c r="AY35" s="1356">
        <v>329474</v>
      </c>
      <c r="AZ35" s="1357">
        <v>269.27097528000002</v>
      </c>
      <c r="BA35" s="1403">
        <v>31309634</v>
      </c>
      <c r="BB35" s="1357">
        <v>27341.7006646628</v>
      </c>
      <c r="BC35" s="1356">
        <v>1847534</v>
      </c>
      <c r="BD35" s="1356">
        <v>25574668</v>
      </c>
      <c r="BE35" s="1356">
        <v>1198452</v>
      </c>
      <c r="BF35" s="1356">
        <v>28620654</v>
      </c>
      <c r="BG35" s="1356">
        <v>4554785</v>
      </c>
      <c r="BH35" s="1356">
        <v>4552127</v>
      </c>
      <c r="BI35" s="1357">
        <v>18623.21254036</v>
      </c>
      <c r="BJ35" s="1356">
        <v>1429850</v>
      </c>
      <c r="BK35" s="1356">
        <v>408094514</v>
      </c>
      <c r="BL35" s="1357">
        <v>84783.405832185017</v>
      </c>
      <c r="BM35" s="1356">
        <v>173267972</v>
      </c>
      <c r="BN35" s="1356">
        <v>14081</v>
      </c>
      <c r="BO35" s="1356">
        <v>14755323</v>
      </c>
      <c r="BP35" s="1357">
        <v>52121.882127140998</v>
      </c>
      <c r="BQ35" s="1356">
        <v>14416227</v>
      </c>
      <c r="BR35" s="1356">
        <v>12864</v>
      </c>
      <c r="BS35" s="1356">
        <v>93662</v>
      </c>
    </row>
    <row r="36" spans="1:73" s="198" customFormat="1" ht="12.6" customHeight="1">
      <c r="A36" s="1358" t="s">
        <v>611</v>
      </c>
      <c r="B36" s="1358">
        <v>1806600</v>
      </c>
      <c r="C36" s="1359">
        <v>199140.02320160103</v>
      </c>
      <c r="D36" s="1358">
        <v>19114</v>
      </c>
      <c r="E36" s="1359">
        <v>205.67148592800001</v>
      </c>
      <c r="F36" s="916">
        <v>1825714</v>
      </c>
      <c r="G36" s="915">
        <v>199345.69468752903</v>
      </c>
      <c r="H36" s="1358">
        <v>10139310</v>
      </c>
      <c r="I36" s="1359">
        <v>41696.002652573006</v>
      </c>
      <c r="J36" s="1358">
        <v>477083</v>
      </c>
      <c r="K36" s="1359">
        <v>500.26342062999998</v>
      </c>
      <c r="L36" s="1358">
        <v>2008</v>
      </c>
      <c r="M36" s="1359">
        <v>3.5663784979000002</v>
      </c>
      <c r="N36" s="1358">
        <v>1816328</v>
      </c>
      <c r="O36" s="1359">
        <v>1046.7114541789999</v>
      </c>
      <c r="P36" s="1358">
        <v>99307</v>
      </c>
      <c r="Q36" s="1359">
        <v>149.47875566600001</v>
      </c>
      <c r="R36" s="1358">
        <v>734540</v>
      </c>
      <c r="S36" s="1359">
        <v>362.73004696500004</v>
      </c>
      <c r="T36" s="1358">
        <v>120498</v>
      </c>
      <c r="U36" s="1359">
        <v>46.018207770199993</v>
      </c>
      <c r="V36" s="1358">
        <v>3249764</v>
      </c>
      <c r="W36" s="1359">
        <v>2108.7682637081002</v>
      </c>
      <c r="X36" s="1359">
        <v>6424.9402682709997</v>
      </c>
      <c r="Y36" s="1358" t="s">
        <v>611</v>
      </c>
      <c r="Z36" s="1358">
        <v>22247507</v>
      </c>
      <c r="AA36" s="1359">
        <v>23466.763830510008</v>
      </c>
      <c r="AB36" s="1358">
        <v>2820</v>
      </c>
      <c r="AC36" s="1359">
        <v>6.1233303190000008</v>
      </c>
      <c r="AD36" s="1358">
        <v>1686544</v>
      </c>
      <c r="AE36" s="1359">
        <v>614.12309256200012</v>
      </c>
      <c r="AF36" s="1358">
        <v>20590</v>
      </c>
      <c r="AG36" s="1359">
        <v>10.262331951000002</v>
      </c>
      <c r="AH36" s="1358">
        <v>1751832</v>
      </c>
      <c r="AI36" s="1359">
        <v>300.91682441199998</v>
      </c>
      <c r="AJ36" s="1358">
        <v>50104</v>
      </c>
      <c r="AK36" s="1359">
        <v>12.549144401000001</v>
      </c>
      <c r="AL36" s="1358">
        <v>25759397</v>
      </c>
      <c r="AM36" s="1359">
        <v>24410.738554155007</v>
      </c>
      <c r="AN36" s="1358">
        <v>282637</v>
      </c>
      <c r="AO36" s="1359">
        <v>179.78879113399998</v>
      </c>
      <c r="AP36" s="1358">
        <v>130996</v>
      </c>
      <c r="AQ36" s="1359">
        <v>28.220984095399999</v>
      </c>
      <c r="AR36" s="1358">
        <v>108615</v>
      </c>
      <c r="AS36" s="1359">
        <v>124.86241000000003</v>
      </c>
      <c r="AT36" s="1358">
        <v>111261</v>
      </c>
      <c r="AU36" s="1359">
        <v>92.746632691000002</v>
      </c>
      <c r="AV36" s="1358">
        <v>59855</v>
      </c>
      <c r="AW36" s="1359">
        <v>20.445061199999998</v>
      </c>
      <c r="AX36" s="1358" t="s">
        <v>611</v>
      </c>
      <c r="AY36" s="1358">
        <v>279731</v>
      </c>
      <c r="AZ36" s="1359">
        <v>238.05410389100001</v>
      </c>
      <c r="BA36" s="1392">
        <v>29702525</v>
      </c>
      <c r="BB36" s="1359">
        <v>26965.570696983508</v>
      </c>
      <c r="BC36" s="1358">
        <v>1869149</v>
      </c>
      <c r="BD36" s="1358">
        <v>25980681</v>
      </c>
      <c r="BE36" s="1358">
        <v>1346291</v>
      </c>
      <c r="BF36" s="1358">
        <v>29196121</v>
      </c>
      <c r="BG36" s="1358">
        <v>4699459</v>
      </c>
      <c r="BH36" s="1358">
        <v>4496931</v>
      </c>
      <c r="BI36" s="1359">
        <v>17763.2963156888</v>
      </c>
      <c r="BJ36" s="1358">
        <v>1445537</v>
      </c>
      <c r="BK36" s="1358">
        <v>368643121</v>
      </c>
      <c r="BL36" s="1359">
        <v>78545.215144922986</v>
      </c>
      <c r="BM36" s="1358">
        <v>176274230</v>
      </c>
      <c r="BN36" s="1358">
        <v>14168</v>
      </c>
      <c r="BO36" s="1358">
        <v>13291184</v>
      </c>
      <c r="BP36" s="1359">
        <v>47055.907916987999</v>
      </c>
      <c r="BQ36" s="1358">
        <v>14777744</v>
      </c>
      <c r="BR36" s="1358">
        <v>12890</v>
      </c>
      <c r="BS36" s="1358">
        <v>95037</v>
      </c>
    </row>
    <row r="37" spans="1:73" s="198" customFormat="1" ht="12.6" customHeight="1">
      <c r="A37" s="1356" t="s">
        <v>603</v>
      </c>
      <c r="B37" s="1356">
        <v>2062183</v>
      </c>
      <c r="C37" s="1357">
        <v>235693.90227961095</v>
      </c>
      <c r="D37" s="1356">
        <v>19723</v>
      </c>
      <c r="E37" s="1357">
        <v>245.09898253000003</v>
      </c>
      <c r="F37" s="627">
        <v>2081906</v>
      </c>
      <c r="G37" s="913">
        <v>235939.00126214096</v>
      </c>
      <c r="H37" s="1356">
        <v>9793064</v>
      </c>
      <c r="I37" s="1357">
        <v>48129.23460851</v>
      </c>
      <c r="J37" s="1356">
        <v>568319</v>
      </c>
      <c r="K37" s="1357">
        <v>602.64428060199998</v>
      </c>
      <c r="L37" s="1356">
        <v>3198</v>
      </c>
      <c r="M37" s="1357">
        <v>5.5097845210500003</v>
      </c>
      <c r="N37" s="1356">
        <v>2110834</v>
      </c>
      <c r="O37" s="1357">
        <v>1283.128545454</v>
      </c>
      <c r="P37" s="1356">
        <v>151038</v>
      </c>
      <c r="Q37" s="1357">
        <v>144.39232870904999</v>
      </c>
      <c r="R37" s="1356">
        <v>825736</v>
      </c>
      <c r="S37" s="1357">
        <v>424.276372503</v>
      </c>
      <c r="T37" s="1356">
        <v>139082</v>
      </c>
      <c r="U37" s="1357">
        <v>53.492265069279995</v>
      </c>
      <c r="V37" s="1356">
        <v>3798207</v>
      </c>
      <c r="W37" s="1357">
        <v>2513.4435768583803</v>
      </c>
      <c r="X37" s="1357">
        <v>7220.9246867484981</v>
      </c>
      <c r="Y37" s="1356" t="s">
        <v>603</v>
      </c>
      <c r="Z37" s="1356">
        <v>26191120</v>
      </c>
      <c r="AA37" s="1357">
        <v>27276.259342900001</v>
      </c>
      <c r="AB37" s="1356">
        <v>4567</v>
      </c>
      <c r="AC37" s="1357">
        <v>9.2153516907499995</v>
      </c>
      <c r="AD37" s="1356">
        <v>1930735</v>
      </c>
      <c r="AE37" s="1357">
        <v>706.92674061100001</v>
      </c>
      <c r="AF37" s="1356">
        <v>31593</v>
      </c>
      <c r="AG37" s="1357">
        <v>17.186154825799999</v>
      </c>
      <c r="AH37" s="1356">
        <v>2171499</v>
      </c>
      <c r="AI37" s="1357">
        <v>349.37163641999996</v>
      </c>
      <c r="AJ37" s="1356">
        <v>64594</v>
      </c>
      <c r="AK37" s="1357">
        <v>16.055369583000001</v>
      </c>
      <c r="AL37" s="1356">
        <v>30394108</v>
      </c>
      <c r="AM37" s="1357">
        <v>28375.014596030549</v>
      </c>
      <c r="AN37" s="1356">
        <v>325406</v>
      </c>
      <c r="AO37" s="1357">
        <v>195.532636027</v>
      </c>
      <c r="AP37" s="1356">
        <v>136017</v>
      </c>
      <c r="AQ37" s="1357">
        <v>34.987395446250012</v>
      </c>
      <c r="AR37" s="1356">
        <v>121963</v>
      </c>
      <c r="AS37" s="1357">
        <v>139.86771000000002</v>
      </c>
      <c r="AT37" s="1356">
        <v>115842</v>
      </c>
      <c r="AU37" s="1357">
        <v>100.68839821200001</v>
      </c>
      <c r="AV37" s="1356">
        <v>66158</v>
      </c>
      <c r="AW37" s="1357">
        <v>29.032024819</v>
      </c>
      <c r="AX37" s="1356" t="s">
        <v>603</v>
      </c>
      <c r="AY37" s="1356">
        <v>303963</v>
      </c>
      <c r="AZ37" s="1357">
        <v>269.58813303100004</v>
      </c>
      <c r="BA37" s="1403">
        <v>34957701</v>
      </c>
      <c r="BB37" s="1357">
        <v>31388.566337393178</v>
      </c>
      <c r="BC37" s="1356">
        <v>1892324</v>
      </c>
      <c r="BD37" s="1356">
        <v>26447201</v>
      </c>
      <c r="BE37" s="1356">
        <v>1433849</v>
      </c>
      <c r="BF37" s="1356">
        <v>29773374</v>
      </c>
      <c r="BG37" s="1356">
        <v>4826551</v>
      </c>
      <c r="BH37" s="1356">
        <v>5177824</v>
      </c>
      <c r="BI37" s="1357">
        <v>23140.752912447002</v>
      </c>
      <c r="BJ37" s="1356">
        <v>1465032</v>
      </c>
      <c r="BK37" s="1356">
        <v>413268681</v>
      </c>
      <c r="BL37" s="1357">
        <v>89076.988267832246</v>
      </c>
      <c r="BM37" s="1356">
        <v>170251728</v>
      </c>
      <c r="BN37" s="1356">
        <v>14170</v>
      </c>
      <c r="BO37" s="1356">
        <v>13934578</v>
      </c>
      <c r="BP37" s="1357">
        <v>56640.253514036012</v>
      </c>
      <c r="BQ37" s="1356">
        <v>15192980</v>
      </c>
      <c r="BR37" s="1356">
        <v>12932</v>
      </c>
      <c r="BS37" s="1356">
        <v>97750</v>
      </c>
    </row>
    <row r="38" spans="1:73" s="198" customFormat="1" ht="12.6" customHeight="1">
      <c r="A38" s="1358" t="s">
        <v>612</v>
      </c>
      <c r="B38" s="1358">
        <v>2013636</v>
      </c>
      <c r="C38" s="1359">
        <v>215315.97997527695</v>
      </c>
      <c r="D38" s="1358">
        <v>16735</v>
      </c>
      <c r="E38" s="1359">
        <v>224.90402825999999</v>
      </c>
      <c r="F38" s="916">
        <v>2030371</v>
      </c>
      <c r="G38" s="915">
        <v>215540.88400353695</v>
      </c>
      <c r="H38" s="1358">
        <v>25290758</v>
      </c>
      <c r="I38" s="1359">
        <v>57900.417136665987</v>
      </c>
      <c r="J38" s="1358">
        <v>581350</v>
      </c>
      <c r="K38" s="1359">
        <v>641.08152580799992</v>
      </c>
      <c r="L38" s="1358">
        <v>3107</v>
      </c>
      <c r="M38" s="1359">
        <v>5.5065769065000003</v>
      </c>
      <c r="N38" s="1358">
        <v>2438062</v>
      </c>
      <c r="O38" s="1359">
        <v>1467.2745668690002</v>
      </c>
      <c r="P38" s="1358">
        <v>131537</v>
      </c>
      <c r="Q38" s="1359">
        <v>108.41622018700001</v>
      </c>
      <c r="R38" s="1358">
        <v>812058</v>
      </c>
      <c r="S38" s="1359">
        <v>441.73219965600015</v>
      </c>
      <c r="T38" s="1358">
        <v>127881</v>
      </c>
      <c r="U38" s="1359">
        <v>51.270539345499991</v>
      </c>
      <c r="V38" s="1358">
        <v>4093995</v>
      </c>
      <c r="W38" s="1359">
        <v>2715.2816287719997</v>
      </c>
      <c r="X38" s="1359">
        <v>7771.0612769239997</v>
      </c>
      <c r="Y38" s="1358" t="s">
        <v>612</v>
      </c>
      <c r="Z38" s="1358">
        <v>29966687</v>
      </c>
      <c r="AA38" s="1359">
        <v>31921.739893860013</v>
      </c>
      <c r="AB38" s="1358">
        <v>5063</v>
      </c>
      <c r="AC38" s="1359">
        <v>10.834176455999998</v>
      </c>
      <c r="AD38" s="1358">
        <v>2418462</v>
      </c>
      <c r="AE38" s="1359">
        <v>929.53866834799999</v>
      </c>
      <c r="AF38" s="1358">
        <v>27978</v>
      </c>
      <c r="AG38" s="1359">
        <v>15.893282254000001</v>
      </c>
      <c r="AH38" s="1358">
        <v>2395616</v>
      </c>
      <c r="AI38" s="1359">
        <v>423.65200735300004</v>
      </c>
      <c r="AJ38" s="1358">
        <v>64979</v>
      </c>
      <c r="AK38" s="1359">
        <v>15.520207299000001</v>
      </c>
      <c r="AL38" s="1358">
        <v>34878785</v>
      </c>
      <c r="AM38" s="1359">
        <v>33317.178235570012</v>
      </c>
      <c r="AN38" s="1358">
        <v>416598</v>
      </c>
      <c r="AO38" s="1359">
        <v>276.28601649000007</v>
      </c>
      <c r="AP38" s="1358">
        <v>127761</v>
      </c>
      <c r="AQ38" s="1359">
        <v>33.521259824500007</v>
      </c>
      <c r="AR38" s="1358">
        <v>128818</v>
      </c>
      <c r="AS38" s="1359">
        <v>146.80036000000001</v>
      </c>
      <c r="AT38" s="1358">
        <v>110497</v>
      </c>
      <c r="AU38" s="1359">
        <v>90.99957950915001</v>
      </c>
      <c r="AV38" s="1358">
        <v>72122</v>
      </c>
      <c r="AW38" s="1359">
        <v>33.259707679999998</v>
      </c>
      <c r="AX38" s="1358" t="s">
        <v>612</v>
      </c>
      <c r="AY38" s="1358">
        <v>311437</v>
      </c>
      <c r="AZ38" s="1359">
        <v>271.05964718915004</v>
      </c>
      <c r="BA38" s="1392">
        <v>39828576</v>
      </c>
      <c r="BB38" s="1359">
        <v>36613.326787845654</v>
      </c>
      <c r="BC38" s="1358">
        <v>1922273</v>
      </c>
      <c r="BD38" s="1358">
        <v>26790235</v>
      </c>
      <c r="BE38" s="1358">
        <v>1547578</v>
      </c>
      <c r="BF38" s="1358">
        <v>30260086</v>
      </c>
      <c r="BG38" s="1358">
        <v>4924682</v>
      </c>
      <c r="BH38" s="1358">
        <v>5860722</v>
      </c>
      <c r="BI38" s="1359">
        <v>22957.597779653999</v>
      </c>
      <c r="BJ38" s="1358">
        <v>1482016</v>
      </c>
      <c r="BK38" s="1358">
        <v>444373921</v>
      </c>
      <c r="BL38" s="1359">
        <v>107460.3057010492</v>
      </c>
      <c r="BM38" s="1358">
        <v>172937294</v>
      </c>
      <c r="BN38" s="1358">
        <v>14188</v>
      </c>
      <c r="BO38" s="1358">
        <v>14189702</v>
      </c>
      <c r="BP38" s="1359">
        <v>53463.582995229997</v>
      </c>
      <c r="BQ38" s="1358">
        <v>15485570</v>
      </c>
      <c r="BR38" s="1358">
        <v>12948</v>
      </c>
      <c r="BS38" s="1358">
        <v>100170</v>
      </c>
    </row>
    <row r="39" spans="1:73" s="198" customFormat="1" ht="12.6" customHeight="1">
      <c r="A39" s="1356" t="s">
        <v>613</v>
      </c>
      <c r="B39" s="1356">
        <v>1569475</v>
      </c>
      <c r="C39" s="1357">
        <v>193495.74204772903</v>
      </c>
      <c r="D39" s="1356">
        <v>11898</v>
      </c>
      <c r="E39" s="1357">
        <v>169.58378911700001</v>
      </c>
      <c r="F39" s="627">
        <v>1581373</v>
      </c>
      <c r="G39" s="913">
        <v>193665.32583684602</v>
      </c>
      <c r="H39" s="1356">
        <v>14915428</v>
      </c>
      <c r="I39" s="1357">
        <v>44385.421638091</v>
      </c>
      <c r="J39" s="1356">
        <v>510585</v>
      </c>
      <c r="K39" s="1357">
        <v>540.93065202999992</v>
      </c>
      <c r="L39" s="1356">
        <v>5283</v>
      </c>
      <c r="M39" s="1357">
        <v>9.2570732881000009</v>
      </c>
      <c r="N39" s="1356">
        <v>2071700</v>
      </c>
      <c r="O39" s="1357">
        <v>1169.7114613849999</v>
      </c>
      <c r="P39" s="1356">
        <v>219953</v>
      </c>
      <c r="Q39" s="1357">
        <v>203.62548229349994</v>
      </c>
      <c r="R39" s="1356">
        <v>779690</v>
      </c>
      <c r="S39" s="1357">
        <v>392.54424229100005</v>
      </c>
      <c r="T39" s="1356">
        <v>138379</v>
      </c>
      <c r="U39" s="1357">
        <v>54.995213325400002</v>
      </c>
      <c r="V39" s="1356">
        <v>3725590</v>
      </c>
      <c r="W39" s="1357">
        <v>2371.0641246129999</v>
      </c>
      <c r="X39" s="1357">
        <v>7426.2714154025007</v>
      </c>
      <c r="Y39" s="1356" t="s">
        <v>613</v>
      </c>
      <c r="Z39" s="1356">
        <v>24998344</v>
      </c>
      <c r="AA39" s="1357">
        <v>24999.236244260002</v>
      </c>
      <c r="AB39" s="1356">
        <v>6919</v>
      </c>
      <c r="AC39" s="1357">
        <v>13.402153949999999</v>
      </c>
      <c r="AD39" s="1356">
        <v>1934867</v>
      </c>
      <c r="AE39" s="1357">
        <v>653.87248725299992</v>
      </c>
      <c r="AF39" s="1356">
        <v>34338</v>
      </c>
      <c r="AG39" s="1357">
        <v>24.650906749000001</v>
      </c>
      <c r="AH39" s="1356">
        <v>2145171</v>
      </c>
      <c r="AI39" s="1357">
        <v>343.96258948900009</v>
      </c>
      <c r="AJ39" s="1356">
        <v>66779</v>
      </c>
      <c r="AK39" s="1357">
        <v>15.710702869</v>
      </c>
      <c r="AL39" s="1356">
        <v>29186418</v>
      </c>
      <c r="AM39" s="1357">
        <v>26050.835084570004</v>
      </c>
      <c r="AN39" s="1356">
        <v>271703</v>
      </c>
      <c r="AO39" s="1357">
        <v>142.14219367699999</v>
      </c>
      <c r="AP39" s="1356">
        <v>114495</v>
      </c>
      <c r="AQ39" s="1357">
        <v>36.971001137800002</v>
      </c>
      <c r="AR39" s="1356">
        <v>68489</v>
      </c>
      <c r="AS39" s="1357">
        <v>78.811750000000004</v>
      </c>
      <c r="AT39" s="1356">
        <v>75535</v>
      </c>
      <c r="AU39" s="1357">
        <v>58.411440108499995</v>
      </c>
      <c r="AV39" s="1356">
        <v>66148</v>
      </c>
      <c r="AW39" s="1357">
        <v>28.062813043000002</v>
      </c>
      <c r="AX39" s="1356" t="s">
        <v>613</v>
      </c>
      <c r="AY39" s="1356">
        <v>210172</v>
      </c>
      <c r="AZ39" s="1357">
        <v>165.28600315150001</v>
      </c>
      <c r="BA39" s="1403">
        <v>33508378</v>
      </c>
      <c r="BB39" s="1357">
        <v>28766.298407149305</v>
      </c>
      <c r="BC39" s="1356">
        <v>1941162</v>
      </c>
      <c r="BD39" s="1356">
        <v>27169150</v>
      </c>
      <c r="BE39" s="1356">
        <v>1639290</v>
      </c>
      <c r="BF39" s="1356">
        <v>30749602</v>
      </c>
      <c r="BG39" s="1356">
        <v>5138554</v>
      </c>
      <c r="BH39" s="1356">
        <v>4819088</v>
      </c>
      <c r="BI39" s="1357">
        <v>20662.966513484997</v>
      </c>
      <c r="BJ39" s="1356">
        <v>1495856</v>
      </c>
      <c r="BK39" s="1356">
        <v>413216473</v>
      </c>
      <c r="BL39" s="1357">
        <v>76311.970791577754</v>
      </c>
      <c r="BM39" s="1356">
        <v>175769859</v>
      </c>
      <c r="BN39" s="1356">
        <v>14240</v>
      </c>
      <c r="BO39" s="1356">
        <v>14020406</v>
      </c>
      <c r="BP39" s="1357">
        <v>48028.707565219993</v>
      </c>
      <c r="BQ39" s="1356">
        <v>15720988</v>
      </c>
      <c r="BR39" s="1356">
        <v>12972</v>
      </c>
      <c r="BS39" s="1356">
        <v>101099</v>
      </c>
    </row>
    <row r="40" spans="1:73" s="198" customFormat="1" ht="12.6" customHeight="1">
      <c r="A40" s="1358" t="s">
        <v>604</v>
      </c>
      <c r="B40" s="1358">
        <v>2296445</v>
      </c>
      <c r="C40" s="1359">
        <v>280047.39524562599</v>
      </c>
      <c r="D40" s="1358">
        <v>18175</v>
      </c>
      <c r="E40" s="1359">
        <v>496.87514473000005</v>
      </c>
      <c r="F40" s="916">
        <v>2314620</v>
      </c>
      <c r="G40" s="915">
        <v>280544.27039035596</v>
      </c>
      <c r="H40" s="1358">
        <v>36669413</v>
      </c>
      <c r="I40" s="1359">
        <v>62368.642332801006</v>
      </c>
      <c r="J40" s="1358">
        <v>560581</v>
      </c>
      <c r="K40" s="1359">
        <v>589.31767761799995</v>
      </c>
      <c r="L40" s="1358">
        <v>4212</v>
      </c>
      <c r="M40" s="1359">
        <v>7.475800120649998</v>
      </c>
      <c r="N40" s="1358">
        <v>2024832</v>
      </c>
      <c r="O40" s="1359">
        <v>1217.2293396269997</v>
      </c>
      <c r="P40" s="1358">
        <v>195207</v>
      </c>
      <c r="Q40" s="1359">
        <v>175.36615071104998</v>
      </c>
      <c r="R40" s="1358">
        <v>834763</v>
      </c>
      <c r="S40" s="1359">
        <v>441.56197677900002</v>
      </c>
      <c r="T40" s="1358">
        <v>133296</v>
      </c>
      <c r="U40" s="1359">
        <v>60.366066575849999</v>
      </c>
      <c r="V40" s="1358">
        <v>3752891</v>
      </c>
      <c r="W40" s="1359">
        <v>2491.3170114315494</v>
      </c>
      <c r="X40" s="1359">
        <v>7507.0998574979994</v>
      </c>
      <c r="Y40" s="1358" t="s">
        <v>604</v>
      </c>
      <c r="Z40" s="1358">
        <v>31051461</v>
      </c>
      <c r="AA40" s="1359">
        <v>33598.580505679995</v>
      </c>
      <c r="AB40" s="1358">
        <v>7628</v>
      </c>
      <c r="AC40" s="1359">
        <v>16.549180989</v>
      </c>
      <c r="AD40" s="1358">
        <v>1908890</v>
      </c>
      <c r="AE40" s="1359">
        <v>672.66633829999989</v>
      </c>
      <c r="AF40" s="1358">
        <v>36220</v>
      </c>
      <c r="AG40" s="1359">
        <v>25.035865922999999</v>
      </c>
      <c r="AH40" s="1358">
        <v>2357882</v>
      </c>
      <c r="AI40" s="1359">
        <v>409.71168222099999</v>
      </c>
      <c r="AJ40" s="1358">
        <v>75477</v>
      </c>
      <c r="AK40" s="1359">
        <v>22.118316146999998</v>
      </c>
      <c r="AL40" s="1358">
        <v>35437558</v>
      </c>
      <c r="AM40" s="1359">
        <v>34744.661889259994</v>
      </c>
      <c r="AN40" s="1358">
        <v>308378</v>
      </c>
      <c r="AO40" s="1359">
        <v>202.91023373600004</v>
      </c>
      <c r="AP40" s="1358">
        <v>133265</v>
      </c>
      <c r="AQ40" s="1359">
        <v>92.531627894500005</v>
      </c>
      <c r="AR40" s="1358">
        <v>60739</v>
      </c>
      <c r="AS40" s="1359">
        <v>73.237179999999995</v>
      </c>
      <c r="AT40" s="1358">
        <v>71061</v>
      </c>
      <c r="AU40" s="1359">
        <v>63.980405747400006</v>
      </c>
      <c r="AV40" s="1358">
        <v>74275</v>
      </c>
      <c r="AW40" s="1359">
        <v>33.342587652000006</v>
      </c>
      <c r="AX40" s="1358" t="s">
        <v>604</v>
      </c>
      <c r="AY40" s="1358">
        <v>206075</v>
      </c>
      <c r="AZ40" s="1359">
        <v>170.56017339940001</v>
      </c>
      <c r="BA40" s="1392">
        <v>39838167</v>
      </c>
      <c r="BB40" s="1359">
        <v>37701.980935721447</v>
      </c>
      <c r="BC40" s="1358">
        <v>1978196</v>
      </c>
      <c r="BD40" s="1358">
        <v>27623986</v>
      </c>
      <c r="BE40" s="1358">
        <v>1869559</v>
      </c>
      <c r="BF40" s="1358">
        <v>31471741</v>
      </c>
      <c r="BG40" s="1358">
        <v>5355586</v>
      </c>
      <c r="BH40" s="1358">
        <v>5667084</v>
      </c>
      <c r="BI40" s="1359">
        <v>23770.835637511002</v>
      </c>
      <c r="BJ40" s="1358">
        <v>1515665</v>
      </c>
      <c r="BK40" s="1358">
        <v>461609837</v>
      </c>
      <c r="BL40" s="1359">
        <v>94293.701013542333</v>
      </c>
      <c r="BM40" s="1358">
        <v>178639642</v>
      </c>
      <c r="BN40" s="1358">
        <v>14300</v>
      </c>
      <c r="BO40" s="1358">
        <v>19871309</v>
      </c>
      <c r="BP40" s="1359">
        <v>58535.034291631011</v>
      </c>
      <c r="BQ40" s="1358">
        <v>16073962</v>
      </c>
      <c r="BR40" s="1358">
        <v>13036</v>
      </c>
      <c r="BS40" s="1358">
        <v>101341</v>
      </c>
    </row>
    <row r="41" spans="1:73" s="198" customFormat="1" ht="12.6" customHeight="1">
      <c r="A41" s="1611" t="s">
        <v>2481</v>
      </c>
      <c r="B41" s="1356"/>
      <c r="C41" s="1357"/>
      <c r="D41" s="1356"/>
      <c r="E41" s="1357"/>
      <c r="F41" s="1356"/>
      <c r="G41" s="1357"/>
      <c r="H41" s="1356"/>
      <c r="I41" s="1357"/>
      <c r="J41" s="1356"/>
      <c r="K41" s="1357"/>
      <c r="L41" s="1356"/>
      <c r="M41" s="1357"/>
      <c r="N41" s="1356"/>
      <c r="O41" s="1357"/>
      <c r="P41" s="1356"/>
      <c r="Q41" s="1357"/>
      <c r="R41" s="1356"/>
      <c r="S41" s="1357"/>
      <c r="T41" s="1356"/>
      <c r="U41" s="1357"/>
      <c r="V41" s="1356"/>
      <c r="W41" s="1357"/>
      <c r="X41" s="1357"/>
      <c r="Y41" s="1611" t="s">
        <v>2481</v>
      </c>
      <c r="Z41" s="1356"/>
      <c r="AA41" s="1357"/>
      <c r="AB41" s="1356"/>
      <c r="AC41" s="1357"/>
      <c r="AD41" s="1356"/>
      <c r="AE41" s="1357"/>
      <c r="AF41" s="1356"/>
      <c r="AG41" s="1357"/>
      <c r="AH41" s="1356"/>
      <c r="AI41" s="1357"/>
      <c r="AJ41" s="1356"/>
      <c r="AK41" s="1357"/>
      <c r="AL41" s="1356"/>
      <c r="AM41" s="1357"/>
      <c r="AN41" s="1356"/>
      <c r="AO41" s="1357"/>
      <c r="AP41" s="1356"/>
      <c r="AQ41" s="1357"/>
      <c r="AR41" s="1356"/>
      <c r="AS41" s="1357"/>
      <c r="AT41" s="1356"/>
      <c r="AU41" s="1357"/>
      <c r="AV41" s="1356"/>
      <c r="AW41" s="1357"/>
      <c r="AX41" s="1611" t="s">
        <v>2481</v>
      </c>
      <c r="AY41" s="1356"/>
      <c r="AZ41" s="1357"/>
      <c r="BA41" s="1403"/>
      <c r="BB41" s="1357"/>
      <c r="BC41" s="1356"/>
      <c r="BD41" s="1356"/>
      <c r="BE41" s="1356"/>
      <c r="BF41" s="1356"/>
      <c r="BG41" s="1356"/>
      <c r="BH41" s="1356"/>
      <c r="BI41" s="1357"/>
      <c r="BJ41" s="1356"/>
      <c r="BK41" s="1356"/>
      <c r="BL41" s="1357"/>
      <c r="BM41" s="1356"/>
      <c r="BN41" s="1356"/>
      <c r="BO41" s="1356"/>
      <c r="BP41" s="1357"/>
      <c r="BQ41" s="1356"/>
      <c r="BR41" s="1356"/>
      <c r="BS41" s="1356"/>
    </row>
    <row r="42" spans="1:73" s="198" customFormat="1" ht="12.6" customHeight="1">
      <c r="A42" s="1358" t="s">
        <v>606</v>
      </c>
      <c r="B42" s="1358">
        <v>1649517</v>
      </c>
      <c r="C42" s="1359">
        <v>202636.00549710292</v>
      </c>
      <c r="D42" s="1358">
        <v>9516</v>
      </c>
      <c r="E42" s="1359">
        <v>206.73015956</v>
      </c>
      <c r="F42" s="1358">
        <v>1659033</v>
      </c>
      <c r="G42" s="1359">
        <v>202842.7356566629</v>
      </c>
      <c r="H42" s="1358">
        <v>13398738</v>
      </c>
      <c r="I42" s="1359">
        <v>49119.83277993201</v>
      </c>
      <c r="J42" s="1358">
        <v>537464</v>
      </c>
      <c r="K42" s="1359">
        <v>581.66958493099992</v>
      </c>
      <c r="L42" s="1358">
        <v>6644</v>
      </c>
      <c r="M42" s="1359">
        <v>12.606325479300002</v>
      </c>
      <c r="N42" s="1358">
        <v>2106121</v>
      </c>
      <c r="O42" s="1359">
        <v>1248.9034585080001</v>
      </c>
      <c r="P42" s="1358">
        <v>243793</v>
      </c>
      <c r="Q42" s="1359">
        <v>233.21360683564993</v>
      </c>
      <c r="R42" s="1358">
        <v>807115</v>
      </c>
      <c r="S42" s="1359">
        <v>440.85201795699993</v>
      </c>
      <c r="T42" s="1358">
        <v>125636</v>
      </c>
      <c r="U42" s="1359">
        <v>60.749221170300018</v>
      </c>
      <c r="V42" s="1358">
        <v>3826773</v>
      </c>
      <c r="W42" s="1359">
        <v>2577.9942148812502</v>
      </c>
      <c r="X42" s="1359">
        <v>7281.2290249230009</v>
      </c>
      <c r="Y42" s="1358" t="s">
        <v>606</v>
      </c>
      <c r="Z42" s="1358">
        <v>31707919</v>
      </c>
      <c r="AA42" s="1359">
        <v>34151.280482898997</v>
      </c>
      <c r="AB42" s="1358">
        <v>9520</v>
      </c>
      <c r="AC42" s="1359">
        <v>19.932478428000003</v>
      </c>
      <c r="AD42" s="1358">
        <v>2101874</v>
      </c>
      <c r="AE42" s="1359">
        <v>772.13439491600002</v>
      </c>
      <c r="AF42" s="1358">
        <v>39955</v>
      </c>
      <c r="AG42" s="1359">
        <v>33.366148688999999</v>
      </c>
      <c r="AH42" s="1358">
        <v>2305148</v>
      </c>
      <c r="AI42" s="1359">
        <v>410.012584522</v>
      </c>
      <c r="AJ42" s="1358">
        <v>77442</v>
      </c>
      <c r="AK42" s="1359">
        <v>20.459789328999999</v>
      </c>
      <c r="AL42" s="1358">
        <v>36241858</v>
      </c>
      <c r="AM42" s="1359">
        <v>35407.185878782999</v>
      </c>
      <c r="AN42" s="1358">
        <v>336308</v>
      </c>
      <c r="AO42" s="1359">
        <v>229.95972937400009</v>
      </c>
      <c r="AP42" s="1358">
        <v>111710</v>
      </c>
      <c r="AQ42" s="1359">
        <v>60.597311433149997</v>
      </c>
      <c r="AR42" s="1358">
        <v>69168</v>
      </c>
      <c r="AS42" s="1359">
        <v>88.734829999999988</v>
      </c>
      <c r="AT42" s="1358">
        <v>78786</v>
      </c>
      <c r="AU42" s="1359">
        <v>67.675018949499986</v>
      </c>
      <c r="AV42" s="1358">
        <v>68995</v>
      </c>
      <c r="AW42" s="1359">
        <v>27.836900808999999</v>
      </c>
      <c r="AX42" s="1358" t="s">
        <v>606</v>
      </c>
      <c r="AY42" s="1358">
        <v>216949</v>
      </c>
      <c r="AZ42" s="1359">
        <v>184.24674975849996</v>
      </c>
      <c r="BA42" s="1392">
        <v>40733598</v>
      </c>
      <c r="BB42" s="1359">
        <v>38459.9838842299</v>
      </c>
      <c r="BC42" s="1358">
        <v>2007724</v>
      </c>
      <c r="BD42" s="1358">
        <v>27950359</v>
      </c>
      <c r="BE42" s="1358">
        <v>2528173</v>
      </c>
      <c r="BF42" s="1358">
        <v>32486256</v>
      </c>
      <c r="BG42" s="1358">
        <v>5472264</v>
      </c>
      <c r="BH42" s="1358">
        <v>5703793</v>
      </c>
      <c r="BI42" s="1359">
        <v>23548.536446219998</v>
      </c>
      <c r="BJ42" s="1358">
        <v>1526239</v>
      </c>
      <c r="BK42" s="1358">
        <v>431892765</v>
      </c>
      <c r="BL42" s="1359">
        <v>89169.25535799301</v>
      </c>
      <c r="BM42" s="1358">
        <v>181137763</v>
      </c>
      <c r="BN42" s="1358">
        <v>14412</v>
      </c>
      <c r="BO42" s="1358">
        <v>12448213</v>
      </c>
      <c r="BP42" s="1359">
        <v>52784.435324975995</v>
      </c>
      <c r="BQ42" s="1358">
        <v>16287310</v>
      </c>
      <c r="BR42" s="1358">
        <v>13065</v>
      </c>
      <c r="BS42" s="1358">
        <v>101993</v>
      </c>
    </row>
    <row r="43" spans="1:73" s="198" customFormat="1" ht="12.6" customHeight="1">
      <c r="A43" s="1356" t="s">
        <v>607</v>
      </c>
      <c r="B43" s="1356">
        <v>1813828</v>
      </c>
      <c r="C43" s="1357">
        <v>231027.26298447303</v>
      </c>
      <c r="D43" s="1356">
        <v>9566</v>
      </c>
      <c r="E43" s="1357">
        <v>275.69495008000001</v>
      </c>
      <c r="F43" s="1356">
        <v>1823394</v>
      </c>
      <c r="G43" s="1357">
        <v>231302.95793455304</v>
      </c>
      <c r="H43" s="1356">
        <v>10270841</v>
      </c>
      <c r="I43" s="1357">
        <v>51699.025985130997</v>
      </c>
      <c r="J43" s="1356">
        <v>305734</v>
      </c>
      <c r="K43" s="1357">
        <v>297.46379853299993</v>
      </c>
      <c r="L43" s="1356">
        <v>11207</v>
      </c>
      <c r="M43" s="1357">
        <v>21.551331748349998</v>
      </c>
      <c r="N43" s="1356">
        <v>2167546</v>
      </c>
      <c r="O43" s="1357">
        <v>1237.755219726</v>
      </c>
      <c r="P43" s="1356">
        <v>248170</v>
      </c>
      <c r="Q43" s="1357">
        <v>222.70378755519994</v>
      </c>
      <c r="R43" s="1356">
        <v>864402</v>
      </c>
      <c r="S43" s="1357">
        <v>450.83845392900002</v>
      </c>
      <c r="T43" s="1356">
        <v>144881</v>
      </c>
      <c r="U43" s="1357">
        <v>72.090876788599999</v>
      </c>
      <c r="V43" s="1356">
        <v>3741940</v>
      </c>
      <c r="W43" s="1357">
        <v>2302.4034682801498</v>
      </c>
      <c r="X43" s="1357">
        <v>7704.961692246</v>
      </c>
      <c r="Y43" s="1356" t="s">
        <v>607</v>
      </c>
      <c r="Z43" s="1356">
        <v>30727592</v>
      </c>
      <c r="AA43" s="1357">
        <v>32539.630122429997</v>
      </c>
      <c r="AB43" s="1356">
        <v>23847</v>
      </c>
      <c r="AC43" s="1357">
        <v>45.6440391816</v>
      </c>
      <c r="AD43" s="1356">
        <v>2051844</v>
      </c>
      <c r="AE43" s="1357">
        <v>712.74522970499993</v>
      </c>
      <c r="AF43" s="1356">
        <v>57902</v>
      </c>
      <c r="AG43" s="1357">
        <v>40.9528005815</v>
      </c>
      <c r="AH43" s="1356">
        <v>2422183</v>
      </c>
      <c r="AI43" s="1357">
        <v>414.59060374500018</v>
      </c>
      <c r="AJ43" s="1356">
        <v>171033</v>
      </c>
      <c r="AK43" s="1357">
        <v>32.590970567999996</v>
      </c>
      <c r="AL43" s="1356">
        <v>35454401</v>
      </c>
      <c r="AM43" s="1357">
        <v>33786.153766211093</v>
      </c>
      <c r="AN43" s="1356">
        <v>321726</v>
      </c>
      <c r="AO43" s="1357">
        <v>212.87233370899997</v>
      </c>
      <c r="AP43" s="1356">
        <v>160962</v>
      </c>
      <c r="AQ43" s="1357">
        <v>84.795698124750004</v>
      </c>
      <c r="AR43" s="1356">
        <v>63646</v>
      </c>
      <c r="AS43" s="1357">
        <v>75.588319999999996</v>
      </c>
      <c r="AT43" s="1356">
        <v>74124</v>
      </c>
      <c r="AU43" s="1357">
        <v>64.650515808999998</v>
      </c>
      <c r="AV43" s="1356">
        <v>72909</v>
      </c>
      <c r="AW43" s="1357">
        <v>28.635353281</v>
      </c>
      <c r="AX43" s="1356" t="s">
        <v>607</v>
      </c>
      <c r="AY43" s="1356">
        <v>210679</v>
      </c>
      <c r="AZ43" s="1357">
        <v>168.87418908999999</v>
      </c>
      <c r="BA43" s="1403">
        <v>39889708</v>
      </c>
      <c r="BB43" s="1357">
        <v>36555.099455415002</v>
      </c>
      <c r="BC43" s="1356">
        <v>2022259</v>
      </c>
      <c r="BD43" s="1356">
        <v>28372594</v>
      </c>
      <c r="BE43" s="1356">
        <v>2985576</v>
      </c>
      <c r="BF43" s="1356">
        <v>33380429</v>
      </c>
      <c r="BG43" s="1356">
        <v>5716529</v>
      </c>
      <c r="BH43" s="1356">
        <v>5970748</v>
      </c>
      <c r="BI43" s="1357">
        <v>25543.982178814</v>
      </c>
      <c r="BJ43" s="1356">
        <v>1493398</v>
      </c>
      <c r="BK43" s="1356">
        <v>408059052</v>
      </c>
      <c r="BL43" s="1357">
        <v>87446.365902944221</v>
      </c>
      <c r="BM43" s="1356">
        <v>183224610</v>
      </c>
      <c r="BN43" s="1356">
        <v>14509</v>
      </c>
      <c r="BO43" s="1356">
        <v>12988273</v>
      </c>
      <c r="BP43" s="1357">
        <v>57542.348755307008</v>
      </c>
      <c r="BQ43" s="1356">
        <v>16537969</v>
      </c>
      <c r="BR43" s="1356">
        <v>13099</v>
      </c>
      <c r="BS43" s="1356">
        <v>103094</v>
      </c>
    </row>
    <row r="44" spans="1:73" s="198" customFormat="1" ht="12.6" customHeight="1">
      <c r="A44" s="1358" t="s">
        <v>2700</v>
      </c>
      <c r="B44" s="1358">
        <v>1793147</v>
      </c>
      <c r="C44" s="1359">
        <v>216515.895644509</v>
      </c>
      <c r="D44" s="1358">
        <v>9074</v>
      </c>
      <c r="E44" s="1359">
        <v>248.47614779200001</v>
      </c>
      <c r="F44" s="1358">
        <v>1802221</v>
      </c>
      <c r="G44" s="1359">
        <v>216764.37179230101</v>
      </c>
      <c r="H44" s="1358">
        <v>9730251</v>
      </c>
      <c r="I44" s="1359">
        <v>48008.86222586799</v>
      </c>
      <c r="J44" s="1358">
        <v>275702</v>
      </c>
      <c r="K44" s="1359">
        <v>249.10009712200005</v>
      </c>
      <c r="L44" s="1358">
        <v>12868</v>
      </c>
      <c r="M44" s="1359">
        <v>22.1391225974</v>
      </c>
      <c r="N44" s="1358">
        <v>2151129</v>
      </c>
      <c r="O44" s="1359">
        <v>1213.5365075119998</v>
      </c>
      <c r="P44" s="1358">
        <v>269478</v>
      </c>
      <c r="Q44" s="1359">
        <v>239.71581757025004</v>
      </c>
      <c r="R44" s="1358">
        <v>875899</v>
      </c>
      <c r="S44" s="1359">
        <v>484.59167348900019</v>
      </c>
      <c r="T44" s="1358">
        <v>140097</v>
      </c>
      <c r="U44" s="1359">
        <v>72.686008021199981</v>
      </c>
      <c r="V44" s="1358">
        <v>3725173</v>
      </c>
      <c r="W44" s="1359">
        <v>2281.7692263118502</v>
      </c>
      <c r="X44" s="1359">
        <v>7790.9249361109987</v>
      </c>
      <c r="Y44" s="1358" t="s">
        <v>2700</v>
      </c>
      <c r="Z44" s="1358">
        <v>30738357</v>
      </c>
      <c r="AA44" s="1359">
        <v>33048.737961022009</v>
      </c>
      <c r="AB44" s="1358">
        <v>32870</v>
      </c>
      <c r="AC44" s="1359">
        <v>69.361218919000009</v>
      </c>
      <c r="AD44" s="1358">
        <v>2074680</v>
      </c>
      <c r="AE44" s="1359">
        <v>720.01220303299999</v>
      </c>
      <c r="AF44" s="1358">
        <v>68822</v>
      </c>
      <c r="AG44" s="1359">
        <v>51.578971019000001</v>
      </c>
      <c r="AH44" s="1358">
        <v>2482218</v>
      </c>
      <c r="AI44" s="1359">
        <v>434.80153298300007</v>
      </c>
      <c r="AJ44" s="1358">
        <v>122407</v>
      </c>
      <c r="AK44" s="1359">
        <v>30.712125464000003</v>
      </c>
      <c r="AL44" s="1358">
        <v>35519354</v>
      </c>
      <c r="AM44" s="1359">
        <v>34355.204012440008</v>
      </c>
      <c r="AN44" s="1358">
        <v>339262</v>
      </c>
      <c r="AO44" s="1359">
        <v>229.54801825700002</v>
      </c>
      <c r="AP44" s="1358">
        <v>185120</v>
      </c>
      <c r="AQ44" s="1359">
        <v>99.559959695200007</v>
      </c>
      <c r="AR44" s="1358">
        <v>33513</v>
      </c>
      <c r="AS44" s="1359">
        <v>45.304720299999993</v>
      </c>
      <c r="AT44" s="1358">
        <v>58938</v>
      </c>
      <c r="AU44" s="1359">
        <v>55.353041109999999</v>
      </c>
      <c r="AV44" s="1358">
        <v>55438</v>
      </c>
      <c r="AW44" s="1359">
        <v>16.086852977000003</v>
      </c>
      <c r="AX44" s="1358" t="s">
        <v>2700</v>
      </c>
      <c r="AY44" s="1358">
        <v>147889</v>
      </c>
      <c r="AZ44" s="1359">
        <v>116.744614387</v>
      </c>
      <c r="BA44" s="1392">
        <v>39916798</v>
      </c>
      <c r="BB44" s="1359">
        <v>37082.825831091046</v>
      </c>
      <c r="BC44" s="1358">
        <v>2037598</v>
      </c>
      <c r="BD44" s="1358">
        <v>28784052</v>
      </c>
      <c r="BE44" s="1358">
        <v>3099201</v>
      </c>
      <c r="BF44" s="1358">
        <v>33920851</v>
      </c>
      <c r="BG44" s="1358">
        <v>5889226</v>
      </c>
      <c r="BH44" s="1358">
        <v>6024976</v>
      </c>
      <c r="BI44" s="1359">
        <v>26605.388500904995</v>
      </c>
      <c r="BJ44" s="1358">
        <v>1505321</v>
      </c>
      <c r="BK44" s="1358">
        <v>408379707</v>
      </c>
      <c r="BL44" s="1359">
        <v>87635.165541996568</v>
      </c>
      <c r="BM44" s="1358">
        <v>185257932</v>
      </c>
      <c r="BN44" s="1358">
        <v>14716</v>
      </c>
      <c r="BO44" s="1358">
        <v>12732190</v>
      </c>
      <c r="BP44" s="1359">
        <v>59295.219292353991</v>
      </c>
      <c r="BQ44" s="1358">
        <v>16781251</v>
      </c>
      <c r="BR44" s="1358">
        <v>13210</v>
      </c>
      <c r="BS44" s="1358">
        <v>101712</v>
      </c>
    </row>
    <row r="45" spans="1:73" s="198" customFormat="1" ht="12.6" customHeight="1" thickBot="1">
      <c r="A45" s="1707" t="s">
        <v>608</v>
      </c>
      <c r="B45" s="1707">
        <v>1804087</v>
      </c>
      <c r="C45" s="1708">
        <v>202714.520875396</v>
      </c>
      <c r="D45" s="1707">
        <v>9588</v>
      </c>
      <c r="E45" s="1708">
        <v>228.81203046100001</v>
      </c>
      <c r="F45" s="1707">
        <v>1813675</v>
      </c>
      <c r="G45" s="1708">
        <v>202943.33290585701</v>
      </c>
      <c r="H45" s="1707">
        <v>19944569</v>
      </c>
      <c r="I45" s="1708">
        <v>49241.193540115004</v>
      </c>
      <c r="J45" s="1707">
        <v>300746</v>
      </c>
      <c r="K45" s="1708">
        <v>278.27265123000001</v>
      </c>
      <c r="L45" s="1707">
        <v>12833</v>
      </c>
      <c r="M45" s="1708">
        <v>20.582455651699998</v>
      </c>
      <c r="N45" s="1707">
        <v>2262276</v>
      </c>
      <c r="O45" s="1708">
        <v>1293.4232380720002</v>
      </c>
      <c r="P45" s="1707">
        <v>294136</v>
      </c>
      <c r="Q45" s="1708">
        <v>265.80038767050002</v>
      </c>
      <c r="R45" s="1707">
        <v>934287</v>
      </c>
      <c r="S45" s="1708">
        <v>530.60861513300006</v>
      </c>
      <c r="T45" s="1707">
        <v>137364</v>
      </c>
      <c r="U45" s="1708">
        <v>69.551401434000013</v>
      </c>
      <c r="V45" s="1707">
        <v>3941642</v>
      </c>
      <c r="W45" s="1708">
        <v>2458.2387491912004</v>
      </c>
      <c r="X45" s="1708">
        <v>7963.2711617330015</v>
      </c>
      <c r="Y45" s="1707" t="s">
        <v>608</v>
      </c>
      <c r="Z45" s="1707">
        <v>31912334</v>
      </c>
      <c r="AA45" s="1708">
        <v>33899.013702949997</v>
      </c>
      <c r="AB45" s="1707">
        <v>32398</v>
      </c>
      <c r="AC45" s="1708">
        <v>71.87654535499999</v>
      </c>
      <c r="AD45" s="1707">
        <v>2154044</v>
      </c>
      <c r="AE45" s="1708">
        <v>749.00966447899998</v>
      </c>
      <c r="AF45" s="1707">
        <v>79211</v>
      </c>
      <c r="AG45" s="1708">
        <v>58.312762106999998</v>
      </c>
      <c r="AH45" s="1707">
        <v>2546429</v>
      </c>
      <c r="AI45" s="1708">
        <v>445.590501985</v>
      </c>
      <c r="AJ45" s="1707">
        <v>130974</v>
      </c>
      <c r="AK45" s="1708">
        <v>29.804467473000003</v>
      </c>
      <c r="AL45" s="1707">
        <v>36855390</v>
      </c>
      <c r="AM45" s="1708">
        <v>35253.607644348995</v>
      </c>
      <c r="AN45" s="1707">
        <v>325905</v>
      </c>
      <c r="AO45" s="1708">
        <v>215.3015789159999</v>
      </c>
      <c r="AP45" s="1707">
        <v>180177</v>
      </c>
      <c r="AQ45" s="1708">
        <v>89.067913960799984</v>
      </c>
      <c r="AR45" s="1707">
        <v>34584</v>
      </c>
      <c r="AS45" s="1708">
        <v>48.116420000000005</v>
      </c>
      <c r="AT45" s="1707">
        <v>61196</v>
      </c>
      <c r="AU45" s="1708">
        <v>56.234574686999999</v>
      </c>
      <c r="AV45" s="1707">
        <v>48897</v>
      </c>
      <c r="AW45" s="1708">
        <v>14.606709499000003</v>
      </c>
      <c r="AX45" s="1707" t="s">
        <v>608</v>
      </c>
      <c r="AY45" s="1707">
        <v>144677</v>
      </c>
      <c r="AZ45" s="1708">
        <v>118.957704186</v>
      </c>
      <c r="BA45" s="1709">
        <v>41447791</v>
      </c>
      <c r="BB45" s="1708">
        <v>38135.173590602993</v>
      </c>
      <c r="BC45" s="1707">
        <v>2068597</v>
      </c>
      <c r="BD45" s="1707">
        <v>29155758</v>
      </c>
      <c r="BE45" s="1707">
        <v>3198443</v>
      </c>
      <c r="BF45" s="1707">
        <v>34422798</v>
      </c>
      <c r="BG45" s="1707">
        <v>6019687</v>
      </c>
      <c r="BH45" s="1707">
        <v>6117675</v>
      </c>
      <c r="BI45" s="1708">
        <v>25965.271321205</v>
      </c>
      <c r="BJ45" s="1707">
        <v>1521803</v>
      </c>
      <c r="BK45" s="1707">
        <v>444062360</v>
      </c>
      <c r="BL45" s="1708">
        <v>93034.980304865778</v>
      </c>
      <c r="BM45" s="1707">
        <v>187523593</v>
      </c>
      <c r="BN45" s="1707">
        <v>14833</v>
      </c>
      <c r="BO45" s="1707">
        <v>15506520</v>
      </c>
      <c r="BP45" s="1708">
        <v>59770.277142747</v>
      </c>
      <c r="BQ45" s="1707">
        <v>17042562</v>
      </c>
      <c r="BR45" s="1707">
        <v>13269</v>
      </c>
      <c r="BS45" s="1707">
        <v>102488</v>
      </c>
    </row>
    <row r="46" spans="1:73">
      <c r="A46" s="1660" t="s">
        <v>2645</v>
      </c>
      <c r="B46" s="1660"/>
      <c r="C46" s="1660"/>
      <c r="D46" s="1660"/>
      <c r="E46" s="1660"/>
      <c r="F46" s="1660"/>
      <c r="G46" s="1660"/>
      <c r="H46" s="1660"/>
      <c r="I46" s="1660"/>
      <c r="J46" s="1360"/>
      <c r="K46" s="1360"/>
      <c r="L46" s="33" t="s">
        <v>2599</v>
      </c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Y46" s="260" t="s">
        <v>2386</v>
      </c>
      <c r="BJ46" s="33" t="s">
        <v>2515</v>
      </c>
      <c r="BK46" s="1548"/>
      <c r="BL46" s="1548"/>
      <c r="BM46" s="1548"/>
      <c r="BN46" s="1548"/>
      <c r="BO46" s="1548"/>
      <c r="BP46" s="1394"/>
      <c r="BQ46" s="33"/>
    </row>
    <row r="47" spans="1:73">
      <c r="A47" s="1660" t="s">
        <v>2646</v>
      </c>
      <c r="B47" s="1660"/>
      <c r="C47" s="1660"/>
      <c r="D47" s="1660"/>
      <c r="E47" s="1660"/>
      <c r="F47" s="1662"/>
      <c r="G47" s="1662"/>
      <c r="H47" s="1662"/>
      <c r="I47" s="1662"/>
      <c r="J47" s="854"/>
      <c r="L47" s="12" t="s">
        <v>2644</v>
      </c>
      <c r="M47" s="33"/>
      <c r="N47" s="33"/>
      <c r="O47" s="33"/>
      <c r="P47" s="33"/>
      <c r="Q47" s="33"/>
      <c r="BC47" s="1542"/>
      <c r="BD47" s="1441"/>
      <c r="BE47" s="1612"/>
      <c r="BF47" s="1"/>
      <c r="BG47" s="1441"/>
      <c r="BJ47" s="1712"/>
      <c r="BK47" s="1710"/>
      <c r="BL47" s="1414"/>
      <c r="BM47" s="1710"/>
      <c r="BN47" s="1713"/>
      <c r="BO47" s="1712"/>
      <c r="BP47" s="1440"/>
      <c r="BQ47" s="1414"/>
      <c r="BS47" s="1441"/>
    </row>
    <row r="48" spans="1:73">
      <c r="A48" s="1661" t="s">
        <v>2600</v>
      </c>
      <c r="B48" s="1661"/>
      <c r="C48" s="1661"/>
      <c r="D48" s="1650"/>
      <c r="E48" s="1650"/>
      <c r="F48" s="1650"/>
      <c r="G48" s="1710"/>
      <c r="H48" s="1414"/>
      <c r="I48" s="1394"/>
      <c r="J48" s="1714" t="s">
        <v>2386</v>
      </c>
      <c r="BC48" s="1542"/>
      <c r="BD48" s="1441"/>
      <c r="BE48" s="1612"/>
      <c r="BF48" s="1"/>
      <c r="BG48" s="1441"/>
      <c r="BH48" s="260"/>
      <c r="BI48" s="260"/>
      <c r="BJ48" s="1712"/>
      <c r="BK48" s="1710"/>
      <c r="BL48" s="1440"/>
      <c r="BM48" s="1712"/>
      <c r="BN48" s="1713"/>
      <c r="BO48" s="1712"/>
      <c r="BP48" s="1441"/>
      <c r="BQ48" s="1414"/>
      <c r="BS48" s="1441"/>
      <c r="BT48" s="1713"/>
      <c r="BU48" s="1393"/>
    </row>
    <row r="49" spans="1:73">
      <c r="A49" s="1649"/>
      <c r="B49" s="1360"/>
      <c r="C49" s="1512"/>
      <c r="D49" s="1512"/>
      <c r="E49" s="1360"/>
      <c r="F49" s="1360"/>
      <c r="G49" s="1711"/>
      <c r="H49" s="1512"/>
      <c r="I49" s="1394"/>
      <c r="J49" s="1393"/>
      <c r="K49" s="1360"/>
      <c r="L49" s="1360"/>
      <c r="M49" s="1360"/>
      <c r="N49" s="1360"/>
      <c r="O49" s="1360"/>
      <c r="P49" s="13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C49" s="1542"/>
      <c r="BD49" s="1441"/>
      <c r="BE49" s="1612"/>
      <c r="BF49" s="1"/>
      <c r="BG49" s="1441"/>
      <c r="BH49" s="1441"/>
      <c r="BI49" s="260"/>
      <c r="BJ49" s="1712"/>
      <c r="BK49" s="1710"/>
      <c r="BL49" s="1440"/>
      <c r="BM49" s="1712"/>
      <c r="BN49" s="1713"/>
      <c r="BO49" s="1712"/>
      <c r="BP49" s="1441"/>
      <c r="BQ49" s="1414"/>
      <c r="BS49" s="1440"/>
      <c r="BT49" s="1393"/>
      <c r="BU49" s="1393"/>
    </row>
    <row r="50" spans="1:73">
      <c r="B50" s="1441"/>
      <c r="C50" s="1440"/>
      <c r="D50" s="1440"/>
      <c r="E50" s="1441"/>
      <c r="F50" s="1441"/>
      <c r="G50" s="1712"/>
      <c r="H50" s="1414"/>
      <c r="I50" s="1394"/>
      <c r="J50" s="1393"/>
      <c r="K50" s="1393"/>
      <c r="L50" s="1393"/>
      <c r="M50" s="1393"/>
      <c r="N50" s="1393"/>
      <c r="O50" s="1393"/>
      <c r="P50" s="1393"/>
      <c r="Q50" s="1393"/>
      <c r="R50" s="1393"/>
      <c r="S50" s="1393"/>
      <c r="T50" s="1393"/>
      <c r="U50" s="1393"/>
      <c r="V50" s="1393"/>
      <c r="W50" s="1393"/>
      <c r="X50" s="1393"/>
      <c r="Y50" s="1393"/>
      <c r="Z50" s="1393"/>
      <c r="AA50" s="1393"/>
      <c r="AB50" s="1393"/>
      <c r="AC50" s="1393"/>
      <c r="AD50" s="1393"/>
      <c r="AE50" s="1393"/>
      <c r="AF50" s="1393"/>
      <c r="AG50" s="1393"/>
      <c r="AH50" s="1393"/>
      <c r="AI50" s="1393"/>
      <c r="AJ50" s="1393"/>
      <c r="AK50" s="1393"/>
      <c r="AL50" s="1393"/>
      <c r="AM50" s="1393"/>
      <c r="AN50" s="1393"/>
      <c r="AO50" s="1393"/>
      <c r="AP50" s="1393"/>
      <c r="AQ50" s="1393"/>
      <c r="AR50" s="1393"/>
      <c r="AS50" s="1393"/>
      <c r="AT50" s="1393"/>
      <c r="AU50" s="1393"/>
      <c r="AV50" s="1393"/>
      <c r="AW50" s="1393"/>
      <c r="AX50" s="1393"/>
      <c r="AY50" s="1393"/>
      <c r="AZ50" s="1393"/>
      <c r="BA50" s="1393"/>
      <c r="BB50" s="1393"/>
      <c r="BC50" s="1542"/>
      <c r="BD50" s="1441"/>
      <c r="BE50" s="1612"/>
      <c r="BF50" s="1"/>
      <c r="BG50" s="1441"/>
      <c r="BH50" s="1441"/>
      <c r="BI50" s="260"/>
      <c r="BJ50" s="1440"/>
      <c r="BK50" s="1441"/>
      <c r="BL50" s="1441"/>
      <c r="BM50" s="1712"/>
      <c r="BN50" s="1713"/>
      <c r="BO50" s="1441"/>
      <c r="BQ50" s="1441"/>
      <c r="BS50" s="1393"/>
      <c r="BT50" s="1393"/>
      <c r="BU50" s="1393"/>
    </row>
    <row r="51" spans="1:73">
      <c r="C51" s="1440"/>
      <c r="D51" s="1441"/>
      <c r="F51" s="1441"/>
      <c r="G51" s="1440"/>
      <c r="H51" s="1"/>
      <c r="I51" s="1394"/>
      <c r="J51" s="1393"/>
      <c r="BC51" s="1542"/>
      <c r="BD51" s="1441"/>
      <c r="BE51" s="1612"/>
      <c r="BF51" s="1"/>
      <c r="BG51" s="1441"/>
      <c r="BH51" s="1441"/>
      <c r="BI51" s="1440"/>
      <c r="BJ51" s="1440"/>
      <c r="BM51" s="1393"/>
      <c r="BT51" s="1393"/>
      <c r="BU51" s="1393"/>
    </row>
    <row r="52" spans="1:73">
      <c r="C52" s="1440"/>
      <c r="D52" s="1440"/>
      <c r="E52" s="1393"/>
      <c r="F52" s="1441"/>
      <c r="G52" s="1440"/>
      <c r="H52" s="1"/>
      <c r="I52" s="1394"/>
      <c r="J52" s="1393"/>
      <c r="BC52" s="1542"/>
      <c r="BF52" s="1"/>
      <c r="BG52" s="1441"/>
      <c r="BI52" s="1393"/>
      <c r="BM52" s="1393"/>
    </row>
    <row r="53" spans="1:73">
      <c r="C53" s="1440"/>
      <c r="D53" s="1440"/>
      <c r="E53" s="1393"/>
      <c r="F53" s="1441"/>
      <c r="G53" s="1440"/>
      <c r="H53" s="1"/>
      <c r="I53" s="1394"/>
      <c r="J53" s="1393"/>
      <c r="BC53" s="1542"/>
      <c r="BF53" s="1"/>
      <c r="BG53" s="1441"/>
      <c r="BO53" s="1393"/>
    </row>
    <row r="54" spans="1:73">
      <c r="C54" s="1440"/>
      <c r="D54" s="1440"/>
      <c r="E54" s="1393"/>
      <c r="F54" s="1440"/>
      <c r="G54" s="1441"/>
      <c r="H54" s="1"/>
      <c r="I54" s="1394"/>
      <c r="J54" s="1393"/>
      <c r="BC54" s="1542"/>
      <c r="BF54" s="1"/>
      <c r="BG54" s="1441"/>
      <c r="BO54" s="1393"/>
    </row>
    <row r="55" spans="1:73">
      <c r="C55" s="1441"/>
      <c r="D55" s="1441"/>
      <c r="E55" s="1393"/>
      <c r="F55" s="1440"/>
      <c r="G55" s="1441"/>
      <c r="H55" s="1"/>
      <c r="I55" s="1394"/>
      <c r="J55" s="1393"/>
      <c r="BC55" s="1542"/>
      <c r="BF55" s="1"/>
      <c r="BG55" s="1441"/>
    </row>
    <row r="56" spans="1:73">
      <c r="C56" s="1441"/>
      <c r="D56" s="1441"/>
      <c r="E56" s="1393"/>
      <c r="F56" s="1440"/>
      <c r="G56" s="1441"/>
      <c r="H56" s="1"/>
      <c r="I56" s="1394"/>
      <c r="J56" s="1393"/>
      <c r="BC56" s="1542"/>
      <c r="BF56" s="1"/>
      <c r="BG56" s="1441"/>
    </row>
    <row r="57" spans="1:73">
      <c r="C57" s="1441"/>
      <c r="D57" s="1441"/>
      <c r="E57" s="1393"/>
      <c r="F57" s="1441"/>
      <c r="G57" s="1441"/>
      <c r="H57" s="1"/>
      <c r="I57" s="1"/>
      <c r="BC57" s="1542"/>
      <c r="BF57" s="1"/>
      <c r="BG57" s="1441"/>
    </row>
    <row r="58" spans="1:73">
      <c r="C58" s="1441"/>
      <c r="D58" s="1441"/>
      <c r="F58" s="1441"/>
      <c r="G58" s="1441"/>
      <c r="H58" s="1"/>
      <c r="I58" s="1"/>
      <c r="BC58" s="1542"/>
      <c r="BF58" s="1"/>
      <c r="BG58" s="1441"/>
    </row>
    <row r="59" spans="1:73">
      <c r="C59" s="1441"/>
      <c r="D59" s="1441"/>
      <c r="F59" s="1441"/>
      <c r="G59" s="1441"/>
      <c r="H59" s="1"/>
      <c r="I59" s="1"/>
      <c r="BF59" s="1"/>
      <c r="BG59" s="260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45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4"/>
  <sheetViews>
    <sheetView zoomScale="160" zoomScaleNormal="160" workbookViewId="0">
      <pane xSplit="1" ySplit="5" topLeftCell="O44" activePane="bottomRight" state="frozen"/>
      <selection activeCell="F85" sqref="F85"/>
      <selection pane="topRight" activeCell="F85" sqref="F85"/>
      <selection pane="bottomLeft" activeCell="F85" sqref="F85"/>
      <selection pane="bottomRight" activeCell="W54" sqref="W54"/>
    </sheetView>
  </sheetViews>
  <sheetFormatPr defaultColWidth="9.140625" defaultRowHeight="11.25"/>
  <cols>
    <col min="1" max="1" width="10.28515625" style="1070" customWidth="1"/>
    <col min="2" max="2" width="10.85546875" style="1070" customWidth="1"/>
    <col min="3" max="3" width="11.140625" style="1070" customWidth="1"/>
    <col min="4" max="4" width="11" style="1070" customWidth="1"/>
    <col min="5" max="5" width="11.28515625" style="1070" customWidth="1"/>
    <col min="6" max="6" width="11" style="1070" customWidth="1"/>
    <col min="7" max="7" width="12.42578125" style="1070" customWidth="1"/>
    <col min="8" max="8" width="10.42578125" style="1070" customWidth="1"/>
    <col min="9" max="9" width="10.140625" style="1070" customWidth="1"/>
    <col min="10" max="10" width="10.7109375" style="1070" customWidth="1"/>
    <col min="11" max="11" width="11.85546875" style="1070" customWidth="1"/>
    <col min="12" max="12" width="10.5703125" style="1070" customWidth="1"/>
    <col min="13" max="13" width="9.85546875" style="1070" bestFit="1" customWidth="1"/>
    <col min="14" max="14" width="12.28515625" style="1070" customWidth="1"/>
    <col min="15" max="15" width="8.85546875" style="1070" customWidth="1"/>
    <col min="16" max="16" width="7.7109375" style="1070" customWidth="1"/>
    <col min="17" max="17" width="8.5703125" style="1070" customWidth="1"/>
    <col min="18" max="18" width="8.7109375" style="1070" customWidth="1"/>
    <col min="19" max="19" width="9.140625" style="1070"/>
    <col min="20" max="20" width="9.28515625" style="1070" customWidth="1"/>
    <col min="21" max="21" width="13.7109375" style="1070" customWidth="1"/>
    <col min="22" max="22" width="12.28515625" style="1070" customWidth="1"/>
    <col min="23" max="16384" width="9.140625" style="1070"/>
  </cols>
  <sheetData>
    <row r="1" spans="1:22" s="179" customFormat="1" ht="15" customHeight="1">
      <c r="A1" s="1421"/>
      <c r="B1" s="1421"/>
      <c r="C1" s="1421"/>
      <c r="D1" s="1421"/>
      <c r="E1" s="1421"/>
      <c r="F1" s="2053" t="s">
        <v>127</v>
      </c>
      <c r="G1" s="2053"/>
      <c r="H1" s="2052" t="s">
        <v>126</v>
      </c>
      <c r="I1" s="2052"/>
      <c r="J1" s="178"/>
      <c r="K1" s="178"/>
      <c r="L1" s="2053" t="s">
        <v>471</v>
      </c>
      <c r="M1" s="2053"/>
      <c r="N1" s="2053"/>
      <c r="O1" s="2056" t="s">
        <v>239</v>
      </c>
      <c r="P1" s="2056"/>
      <c r="Q1" s="2056"/>
      <c r="R1" s="2056"/>
      <c r="S1" s="2056"/>
      <c r="T1" s="2053" t="s">
        <v>472</v>
      </c>
      <c r="U1" s="2053"/>
      <c r="V1" s="2053"/>
    </row>
    <row r="2" spans="1:22" s="182" customFormat="1" ht="11.25" customHeight="1">
      <c r="A2" s="180"/>
      <c r="B2" s="180"/>
      <c r="C2" s="180"/>
      <c r="D2" s="181"/>
      <c r="F2" s="1220"/>
      <c r="H2" s="181"/>
      <c r="I2" s="181"/>
      <c r="J2" s="181"/>
      <c r="K2" s="181"/>
      <c r="L2" s="2054" t="s">
        <v>24</v>
      </c>
      <c r="M2" s="2054"/>
      <c r="N2" s="2054"/>
      <c r="O2" s="181"/>
      <c r="P2" s="181"/>
      <c r="Q2" s="183"/>
      <c r="R2" s="183"/>
      <c r="S2" s="183"/>
      <c r="T2" s="183"/>
      <c r="U2" s="2054" t="s">
        <v>24</v>
      </c>
      <c r="V2" s="2054"/>
    </row>
    <row r="3" spans="1:22" s="182" customFormat="1" ht="12.75" customHeight="1">
      <c r="A3" s="2047" t="s">
        <v>527</v>
      </c>
      <c r="B3" s="2058" t="s">
        <v>532</v>
      </c>
      <c r="C3" s="2059"/>
      <c r="D3" s="2060"/>
      <c r="E3" s="2057" t="s">
        <v>361</v>
      </c>
      <c r="F3" s="2057"/>
      <c r="G3" s="2057"/>
      <c r="H3" s="2057" t="s">
        <v>982</v>
      </c>
      <c r="I3" s="2057"/>
      <c r="J3" s="2057"/>
      <c r="K3" s="2055" t="s">
        <v>983</v>
      </c>
      <c r="L3" s="2055"/>
      <c r="M3" s="2055"/>
      <c r="N3" s="2064" t="s">
        <v>1006</v>
      </c>
      <c r="O3" s="1914" t="s">
        <v>527</v>
      </c>
      <c r="P3" s="2066" t="s">
        <v>986</v>
      </c>
      <c r="Q3" s="2058" t="s">
        <v>985</v>
      </c>
      <c r="R3" s="2059"/>
      <c r="S3" s="2059"/>
      <c r="T3" s="2059"/>
      <c r="U3" s="2060"/>
      <c r="V3" s="2061" t="s">
        <v>1397</v>
      </c>
    </row>
    <row r="4" spans="1:22" s="184" customFormat="1" ht="29.25" customHeight="1">
      <c r="A4" s="2048"/>
      <c r="B4" s="1418" t="s">
        <v>1003</v>
      </c>
      <c r="C4" s="1418" t="s">
        <v>1004</v>
      </c>
      <c r="D4" s="1418" t="s">
        <v>1005</v>
      </c>
      <c r="E4" s="1418" t="s">
        <v>533</v>
      </c>
      <c r="F4" s="1418" t="s">
        <v>534</v>
      </c>
      <c r="G4" s="1418" t="s">
        <v>682</v>
      </c>
      <c r="H4" s="1418" t="s">
        <v>533</v>
      </c>
      <c r="I4" s="1418" t="s">
        <v>534</v>
      </c>
      <c r="J4" s="1418" t="s">
        <v>683</v>
      </c>
      <c r="K4" s="1418" t="s">
        <v>535</v>
      </c>
      <c r="L4" s="1418" t="s">
        <v>524</v>
      </c>
      <c r="M4" s="1418" t="s">
        <v>687</v>
      </c>
      <c r="N4" s="2065"/>
      <c r="O4" s="2050"/>
      <c r="P4" s="2067"/>
      <c r="Q4" s="1419" t="s">
        <v>987</v>
      </c>
      <c r="R4" s="1419" t="s">
        <v>829</v>
      </c>
      <c r="S4" s="1419" t="s">
        <v>830</v>
      </c>
      <c r="T4" s="1419" t="s">
        <v>831</v>
      </c>
      <c r="U4" s="1419" t="s">
        <v>689</v>
      </c>
      <c r="V4" s="2062"/>
    </row>
    <row r="5" spans="1:22" s="242" customFormat="1" ht="17.25" customHeight="1">
      <c r="A5" s="2049"/>
      <c r="B5" s="368">
        <v>1</v>
      </c>
      <c r="C5" s="368">
        <v>2</v>
      </c>
      <c r="D5" s="368" t="s">
        <v>686</v>
      </c>
      <c r="E5" s="368">
        <v>4</v>
      </c>
      <c r="F5" s="368">
        <v>5</v>
      </c>
      <c r="G5" s="368" t="s">
        <v>685</v>
      </c>
      <c r="H5" s="368">
        <v>7</v>
      </c>
      <c r="I5" s="368">
        <v>8</v>
      </c>
      <c r="J5" s="368" t="s">
        <v>684</v>
      </c>
      <c r="K5" s="368">
        <v>10</v>
      </c>
      <c r="L5" s="368">
        <v>11</v>
      </c>
      <c r="M5" s="368" t="s">
        <v>688</v>
      </c>
      <c r="N5" s="368" t="s">
        <v>238</v>
      </c>
      <c r="O5" s="2051"/>
      <c r="P5" s="1068">
        <v>14</v>
      </c>
      <c r="Q5" s="1068">
        <v>15</v>
      </c>
      <c r="R5" s="1068">
        <v>16</v>
      </c>
      <c r="S5" s="1068">
        <v>17</v>
      </c>
      <c r="T5" s="1068">
        <v>18</v>
      </c>
      <c r="U5" s="1069" t="s">
        <v>984</v>
      </c>
      <c r="V5" s="2063"/>
    </row>
    <row r="6" spans="1:22" s="203" customFormat="1" ht="11.1" customHeight="1">
      <c r="A6" s="1015" t="s">
        <v>81</v>
      </c>
      <c r="B6" s="280">
        <v>112345.1</v>
      </c>
      <c r="C6" s="252">
        <v>147983</v>
      </c>
      <c r="D6" s="252">
        <v>-35637.9</v>
      </c>
      <c r="E6" s="280">
        <v>15453.4</v>
      </c>
      <c r="F6" s="280">
        <v>25710.799999999999</v>
      </c>
      <c r="G6" s="280">
        <v>-10257.400000000001</v>
      </c>
      <c r="H6" s="280">
        <v>551.70000000000005</v>
      </c>
      <c r="I6" s="252">
        <v>10566.400000000001</v>
      </c>
      <c r="J6" s="280">
        <v>-10014.700000000001</v>
      </c>
      <c r="K6" s="280">
        <v>864.8</v>
      </c>
      <c r="L6" s="280">
        <v>78001.299999999988</v>
      </c>
      <c r="M6" s="280">
        <v>78866.100000000006</v>
      </c>
      <c r="N6" s="251">
        <v>22956.1</v>
      </c>
      <c r="O6" s="1015" t="s">
        <v>81</v>
      </c>
      <c r="P6" s="280">
        <v>3373.5999999999995</v>
      </c>
      <c r="Q6" s="280">
        <v>6316.4000000000005</v>
      </c>
      <c r="R6" s="280">
        <v>-2029.5</v>
      </c>
      <c r="S6" s="280">
        <v>-820.69999999999936</v>
      </c>
      <c r="T6" s="280">
        <v>-24814.3</v>
      </c>
      <c r="U6" s="251">
        <f t="shared" ref="U6" si="0">Q6+R6+S6+T6</f>
        <v>-21348.1</v>
      </c>
      <c r="V6" s="252">
        <f t="shared" ref="V6" si="1">-(N6+P6+U6)</f>
        <v>-4981.5999999999985</v>
      </c>
    </row>
    <row r="7" spans="1:22" s="204" customFormat="1" ht="11.1" customHeight="1">
      <c r="A7" s="1016" t="s">
        <v>199</v>
      </c>
      <c r="B7" s="317">
        <v>164159.20000000001</v>
      </c>
      <c r="C7" s="317">
        <v>216341.09999999998</v>
      </c>
      <c r="D7" s="317">
        <v>-52181.899999999994</v>
      </c>
      <c r="E7" s="317">
        <v>18292.900000000001</v>
      </c>
      <c r="F7" s="317">
        <v>35500.6</v>
      </c>
      <c r="G7" s="317">
        <v>-17207.7</v>
      </c>
      <c r="H7" s="317">
        <v>871.7</v>
      </c>
      <c r="I7" s="317">
        <v>11267.1</v>
      </c>
      <c r="J7" s="317">
        <v>-10395.4</v>
      </c>
      <c r="K7" s="317">
        <v>1047.0999999999999</v>
      </c>
      <c r="L7" s="317">
        <v>84013.2</v>
      </c>
      <c r="M7" s="317">
        <v>85060.299999999988</v>
      </c>
      <c r="N7" s="317">
        <v>5275.3000000000011</v>
      </c>
      <c r="O7" s="1016" t="s">
        <v>199</v>
      </c>
      <c r="P7" s="317">
        <v>4138.1000000000004</v>
      </c>
      <c r="Q7" s="317">
        <v>5585.6</v>
      </c>
      <c r="R7" s="317">
        <v>-6109.2000000000007</v>
      </c>
      <c r="S7" s="317">
        <v>-9589.7999999999993</v>
      </c>
      <c r="T7" s="317">
        <v>5351</v>
      </c>
      <c r="U7" s="317">
        <v>-4762.3999999999996</v>
      </c>
      <c r="V7" s="317">
        <v>-4651.0000000000018</v>
      </c>
    </row>
    <row r="8" spans="1:22" s="175" customFormat="1" ht="11.1" customHeight="1">
      <c r="A8" s="1015" t="s">
        <v>792</v>
      </c>
      <c r="B8" s="252">
        <v>193375.5</v>
      </c>
      <c r="C8" s="252">
        <v>253042.2</v>
      </c>
      <c r="D8" s="252">
        <v>-59666.7</v>
      </c>
      <c r="E8" s="252">
        <v>19370.400000000001</v>
      </c>
      <c r="F8" s="252">
        <v>41880.299999999996</v>
      </c>
      <c r="G8" s="252">
        <v>-22509.899999999998</v>
      </c>
      <c r="H8" s="252">
        <v>1523.3000000000002</v>
      </c>
      <c r="I8" s="252">
        <v>13242.2</v>
      </c>
      <c r="J8" s="252">
        <v>-11718.9</v>
      </c>
      <c r="K8" s="252">
        <v>829.19999999999993</v>
      </c>
      <c r="L8" s="252">
        <v>101982.6</v>
      </c>
      <c r="M8" s="252">
        <v>102811.8</v>
      </c>
      <c r="N8" s="252">
        <v>8916.2999999999993</v>
      </c>
      <c r="O8" s="1015" t="s">
        <v>792</v>
      </c>
      <c r="P8" s="252">
        <v>3678.5</v>
      </c>
      <c r="Q8" s="252">
        <v>9088.2000000000007</v>
      </c>
      <c r="R8" s="252">
        <v>4142.6000000000004</v>
      </c>
      <c r="S8" s="252">
        <v>-17391</v>
      </c>
      <c r="T8" s="252">
        <v>-2324.4999999999991</v>
      </c>
      <c r="U8" s="252">
        <v>-6484.699999999998</v>
      </c>
      <c r="V8" s="252">
        <v>-6110.1000000000022</v>
      </c>
    </row>
    <row r="9" spans="1:22" s="175" customFormat="1" ht="11.1" customHeight="1">
      <c r="A9" s="1016" t="s">
        <v>1128</v>
      </c>
      <c r="B9" s="317">
        <v>211643</v>
      </c>
      <c r="C9" s="317">
        <v>272427.10000000003</v>
      </c>
      <c r="D9" s="317">
        <v>-60784.099999999991</v>
      </c>
      <c r="E9" s="317">
        <v>22601.1</v>
      </c>
      <c r="F9" s="317">
        <v>48387.100000000006</v>
      </c>
      <c r="G9" s="317">
        <v>-25786.000000000004</v>
      </c>
      <c r="H9" s="317">
        <v>965.00000000000011</v>
      </c>
      <c r="I9" s="317">
        <v>19441.600000000002</v>
      </c>
      <c r="J9" s="317">
        <v>-18476.600000000002</v>
      </c>
      <c r="K9" s="317">
        <v>516.6</v>
      </c>
      <c r="L9" s="317">
        <v>119520.40000000001</v>
      </c>
      <c r="M9" s="317">
        <v>120037</v>
      </c>
      <c r="N9" s="317">
        <v>14990.300000000003</v>
      </c>
      <c r="O9" s="1016" t="s">
        <v>1128</v>
      </c>
      <c r="P9" s="317">
        <v>4690.7999999999993</v>
      </c>
      <c r="Q9" s="317">
        <v>-13776.300000000001</v>
      </c>
      <c r="R9" s="317">
        <v>742.90000000000009</v>
      </c>
      <c r="S9" s="317">
        <v>-15951.5</v>
      </c>
      <c r="T9" s="317">
        <v>41316</v>
      </c>
      <c r="U9" s="317">
        <v>12331.100000000002</v>
      </c>
      <c r="V9" s="317">
        <v>-7350.0000000000018</v>
      </c>
    </row>
    <row r="10" spans="1:22" s="175" customFormat="1" ht="11.1" customHeight="1">
      <c r="A10" s="1015" t="s">
        <v>1108</v>
      </c>
      <c r="B10" s="252">
        <v>230946.3</v>
      </c>
      <c r="C10" s="252">
        <v>286835.69999999995</v>
      </c>
      <c r="D10" s="252">
        <v>-55889.4</v>
      </c>
      <c r="E10" s="252">
        <v>24212.899999999998</v>
      </c>
      <c r="F10" s="252">
        <v>56129.399999999994</v>
      </c>
      <c r="G10" s="252">
        <v>-31916.5</v>
      </c>
      <c r="H10" s="252">
        <v>1011.5000000000001</v>
      </c>
      <c r="I10" s="252">
        <v>21168.1</v>
      </c>
      <c r="J10" s="252">
        <v>-20156.599999999999</v>
      </c>
      <c r="K10" s="252">
        <v>615.20000000000005</v>
      </c>
      <c r="L10" s="252">
        <v>115425</v>
      </c>
      <c r="M10" s="252">
        <v>116040.2</v>
      </c>
      <c r="N10" s="252">
        <v>8077.7000000000044</v>
      </c>
      <c r="O10" s="1015" t="s">
        <v>1108</v>
      </c>
      <c r="P10" s="252">
        <v>5009.5</v>
      </c>
      <c r="Q10" s="252">
        <v>-11562.9</v>
      </c>
      <c r="R10" s="252">
        <v>-3019.8999999999996</v>
      </c>
      <c r="S10" s="252">
        <v>-17019.400000000001</v>
      </c>
      <c r="T10" s="252">
        <v>45942.100000000006</v>
      </c>
      <c r="U10" s="252">
        <v>14339.899999999998</v>
      </c>
      <c r="V10" s="252">
        <v>1252.6999999999916</v>
      </c>
    </row>
    <row r="11" spans="1:22" s="204" customFormat="1" ht="11.1" customHeight="1">
      <c r="A11" s="1018" t="s">
        <v>1167</v>
      </c>
      <c r="B11" s="365">
        <v>238483.7</v>
      </c>
      <c r="C11" s="365">
        <v>284654.7</v>
      </c>
      <c r="D11" s="365">
        <v>-46170.999999999993</v>
      </c>
      <c r="E11" s="365">
        <v>23956.9</v>
      </c>
      <c r="F11" s="365">
        <v>64556.600000000006</v>
      </c>
      <c r="G11" s="365">
        <v>-40599.699999999997</v>
      </c>
      <c r="H11" s="365">
        <v>582.6</v>
      </c>
      <c r="I11" s="365">
        <v>22769.799999999996</v>
      </c>
      <c r="J11" s="365">
        <v>-22187.200000000001</v>
      </c>
      <c r="K11" s="365">
        <v>594.6</v>
      </c>
      <c r="L11" s="365">
        <v>122888.8</v>
      </c>
      <c r="M11" s="365">
        <v>123483.4</v>
      </c>
      <c r="N11" s="365">
        <v>14525.500000000015</v>
      </c>
      <c r="O11" s="1018" t="s">
        <v>1167</v>
      </c>
      <c r="P11" s="365">
        <v>4024.8999999999996</v>
      </c>
      <c r="Q11" s="365">
        <v>-14216.999999999998</v>
      </c>
      <c r="R11" s="365">
        <v>-4157.5</v>
      </c>
      <c r="S11" s="365">
        <v>-3579.9999999999991</v>
      </c>
      <c r="T11" s="365">
        <v>33041</v>
      </c>
      <c r="U11" s="365">
        <v>11086.5</v>
      </c>
      <c r="V11" s="365">
        <v>-7463.9000000000133</v>
      </c>
    </row>
    <row r="12" spans="1:22" s="175" customFormat="1" ht="11.1" customHeight="1">
      <c r="A12" s="1017" t="s">
        <v>1299</v>
      </c>
      <c r="B12" s="373">
        <f t="shared" ref="B12:N12" si="2">SUM(B13:B16)</f>
        <v>261822.6</v>
      </c>
      <c r="C12" s="373">
        <f t="shared" si="2"/>
        <v>303951.89999999997</v>
      </c>
      <c r="D12" s="373">
        <f t="shared" si="2"/>
        <v>-42129.299999999996</v>
      </c>
      <c r="E12" s="373">
        <f t="shared" si="2"/>
        <v>27156.699999999997</v>
      </c>
      <c r="F12" s="373">
        <f t="shared" si="2"/>
        <v>57509.7</v>
      </c>
      <c r="G12" s="373">
        <f t="shared" si="2"/>
        <v>-30353</v>
      </c>
      <c r="H12" s="373">
        <f t="shared" si="2"/>
        <v>1200.1000000000001</v>
      </c>
      <c r="I12" s="373">
        <f t="shared" si="2"/>
        <v>20802</v>
      </c>
      <c r="J12" s="373">
        <f t="shared" si="2"/>
        <v>-19601.899999999998</v>
      </c>
      <c r="K12" s="373">
        <f t="shared" si="2"/>
        <v>532.1</v>
      </c>
      <c r="L12" s="373">
        <f t="shared" si="2"/>
        <v>119572.5</v>
      </c>
      <c r="M12" s="373">
        <f t="shared" si="2"/>
        <v>120104.59999999999</v>
      </c>
      <c r="N12" s="373">
        <f t="shared" si="2"/>
        <v>28020.399999999994</v>
      </c>
      <c r="O12" s="1017" t="s">
        <v>1299</v>
      </c>
      <c r="P12" s="373">
        <f t="shared" ref="P12:V12" si="3">SUM(P13:P16)</f>
        <v>3748.4</v>
      </c>
      <c r="Q12" s="373">
        <f t="shared" si="3"/>
        <v>-15496</v>
      </c>
      <c r="R12" s="373">
        <f t="shared" si="3"/>
        <v>3977.3</v>
      </c>
      <c r="S12" s="373">
        <f t="shared" si="3"/>
        <v>-13250.5</v>
      </c>
      <c r="T12" s="373">
        <f t="shared" si="3"/>
        <v>42962.3</v>
      </c>
      <c r="U12" s="373">
        <f t="shared" si="3"/>
        <v>18193.099999999999</v>
      </c>
      <c r="V12" s="373">
        <f t="shared" si="3"/>
        <v>-13575.699999999997</v>
      </c>
    </row>
    <row r="13" spans="1:22" s="175" customFormat="1" ht="11.1" customHeight="1">
      <c r="A13" s="1016" t="s">
        <v>1462</v>
      </c>
      <c r="B13" s="317">
        <v>59442.1</v>
      </c>
      <c r="C13" s="317">
        <v>66334.2</v>
      </c>
      <c r="D13" s="317">
        <f t="shared" ref="D13:D21" si="4">B13-C13</f>
        <v>-6892.0999999999985</v>
      </c>
      <c r="E13" s="317">
        <v>6720.8</v>
      </c>
      <c r="F13" s="317">
        <v>13331.9</v>
      </c>
      <c r="G13" s="317">
        <f t="shared" ref="G13:G21" si="5">E13-F13</f>
        <v>-6611.0999999999995</v>
      </c>
      <c r="H13" s="317">
        <v>438.1</v>
      </c>
      <c r="I13" s="317">
        <v>5119.5</v>
      </c>
      <c r="J13" s="317">
        <f t="shared" ref="J13:J21" si="6">H13-I13</f>
        <v>-4681.3999999999996</v>
      </c>
      <c r="K13" s="317">
        <v>106.1</v>
      </c>
      <c r="L13" s="317">
        <v>31252.799999999999</v>
      </c>
      <c r="M13" s="317">
        <f t="shared" ref="M13:M21" si="7">K13+L13</f>
        <v>31358.899999999998</v>
      </c>
      <c r="N13" s="316">
        <f t="shared" ref="N13:N21" si="8">D13++G13+J13+M13</f>
        <v>13174.3</v>
      </c>
      <c r="O13" s="1016" t="s">
        <v>1462</v>
      </c>
      <c r="P13" s="317">
        <v>741</v>
      </c>
      <c r="Q13" s="317">
        <v>-4603.5</v>
      </c>
      <c r="R13" s="317">
        <v>-68.599999999999994</v>
      </c>
      <c r="S13" s="317">
        <v>3482.7</v>
      </c>
      <c r="T13" s="317">
        <v>11547</v>
      </c>
      <c r="U13" s="316">
        <f t="shared" ref="U13:U21" si="9">Q13+R13+S13+T13</f>
        <v>10357.599999999999</v>
      </c>
      <c r="V13" s="317">
        <f t="shared" ref="V13:V21" si="10">-(N13+P13-U13)</f>
        <v>-3557.7000000000007</v>
      </c>
    </row>
    <row r="14" spans="1:22" s="175" customFormat="1" ht="11.1" customHeight="1">
      <c r="A14" s="1015" t="s">
        <v>1459</v>
      </c>
      <c r="B14" s="252">
        <v>63437</v>
      </c>
      <c r="C14" s="252">
        <v>80652.399999999994</v>
      </c>
      <c r="D14" s="252">
        <f>B14-C14</f>
        <v>-17215.399999999994</v>
      </c>
      <c r="E14" s="252">
        <v>6804.7</v>
      </c>
      <c r="F14" s="252">
        <v>14314.6</v>
      </c>
      <c r="G14" s="252">
        <f t="shared" si="5"/>
        <v>-7509.9000000000005</v>
      </c>
      <c r="H14" s="252">
        <v>359.3</v>
      </c>
      <c r="I14" s="252">
        <v>4697.5</v>
      </c>
      <c r="J14" s="252">
        <f t="shared" si="6"/>
        <v>-4338.2</v>
      </c>
      <c r="K14" s="252">
        <v>130.9</v>
      </c>
      <c r="L14" s="252">
        <v>28831.1</v>
      </c>
      <c r="M14" s="252">
        <f t="shared" si="7"/>
        <v>28962</v>
      </c>
      <c r="N14" s="251">
        <f t="shared" si="8"/>
        <v>-101.49999999999636</v>
      </c>
      <c r="O14" s="1015" t="s">
        <v>1459</v>
      </c>
      <c r="P14" s="252">
        <v>1096.5999999999999</v>
      </c>
      <c r="Q14" s="252">
        <v>-4138.8</v>
      </c>
      <c r="R14" s="252">
        <v>811.5</v>
      </c>
      <c r="S14" s="252">
        <v>-5942.4</v>
      </c>
      <c r="T14" s="252">
        <v>9622.5</v>
      </c>
      <c r="U14" s="251">
        <f t="shared" si="9"/>
        <v>352.79999999999927</v>
      </c>
      <c r="V14" s="252">
        <f t="shared" si="10"/>
        <v>-642.30000000000427</v>
      </c>
    </row>
    <row r="15" spans="1:22" s="175" customFormat="1" ht="11.1" customHeight="1">
      <c r="A15" s="1016" t="s">
        <v>1460</v>
      </c>
      <c r="B15" s="317">
        <v>67692.899999999994</v>
      </c>
      <c r="C15" s="317">
        <v>74910.100000000006</v>
      </c>
      <c r="D15" s="317">
        <f t="shared" si="4"/>
        <v>-7217.2000000000116</v>
      </c>
      <c r="E15" s="317">
        <v>6535.6</v>
      </c>
      <c r="F15" s="317">
        <v>14012.2</v>
      </c>
      <c r="G15" s="317">
        <f t="shared" si="5"/>
        <v>-7476.6</v>
      </c>
      <c r="H15" s="317">
        <v>222.1</v>
      </c>
      <c r="I15" s="317">
        <v>4594.3999999999996</v>
      </c>
      <c r="J15" s="317">
        <f t="shared" si="6"/>
        <v>-4372.2999999999993</v>
      </c>
      <c r="K15" s="317">
        <v>181.5</v>
      </c>
      <c r="L15" s="317">
        <v>28449</v>
      </c>
      <c r="M15" s="317">
        <f t="shared" si="7"/>
        <v>28630.5</v>
      </c>
      <c r="N15" s="316">
        <f t="shared" si="8"/>
        <v>9564.3999999999869</v>
      </c>
      <c r="O15" s="1016" t="s">
        <v>1460</v>
      </c>
      <c r="P15" s="317">
        <v>1102.7</v>
      </c>
      <c r="Q15" s="317">
        <v>-3207.5</v>
      </c>
      <c r="R15" s="317">
        <v>-191.7</v>
      </c>
      <c r="S15" s="317">
        <v>3484</v>
      </c>
      <c r="T15" s="317">
        <v>6149.2</v>
      </c>
      <c r="U15" s="316">
        <f t="shared" si="9"/>
        <v>6234</v>
      </c>
      <c r="V15" s="317">
        <f t="shared" si="10"/>
        <v>-4433.0999999999876</v>
      </c>
    </row>
    <row r="16" spans="1:22" s="175" customFormat="1" ht="11.1" customHeight="1">
      <c r="A16" s="1015" t="s">
        <v>1461</v>
      </c>
      <c r="B16" s="252">
        <v>71250.600000000006</v>
      </c>
      <c r="C16" s="252">
        <v>82055.199999999997</v>
      </c>
      <c r="D16" s="252">
        <f t="shared" si="4"/>
        <v>-10804.599999999991</v>
      </c>
      <c r="E16" s="252">
        <v>7095.6</v>
      </c>
      <c r="F16" s="252">
        <v>15851</v>
      </c>
      <c r="G16" s="252">
        <f t="shared" si="5"/>
        <v>-8755.4</v>
      </c>
      <c r="H16" s="252">
        <v>180.6</v>
      </c>
      <c r="I16" s="252">
        <v>6390.6</v>
      </c>
      <c r="J16" s="252">
        <f t="shared" si="6"/>
        <v>-6210</v>
      </c>
      <c r="K16" s="252">
        <v>113.6</v>
      </c>
      <c r="L16" s="252">
        <v>31039.599999999999</v>
      </c>
      <c r="M16" s="252">
        <f t="shared" si="7"/>
        <v>31153.199999999997</v>
      </c>
      <c r="N16" s="251">
        <f t="shared" si="8"/>
        <v>5383.2000000000044</v>
      </c>
      <c r="O16" s="1015" t="s">
        <v>1461</v>
      </c>
      <c r="P16" s="252">
        <v>808.1</v>
      </c>
      <c r="Q16" s="252">
        <v>-3546.2</v>
      </c>
      <c r="R16" s="252">
        <v>3426.1</v>
      </c>
      <c r="S16" s="252">
        <v>-14274.8</v>
      </c>
      <c r="T16" s="252">
        <v>15643.6</v>
      </c>
      <c r="U16" s="251">
        <f t="shared" si="9"/>
        <v>1248.7000000000007</v>
      </c>
      <c r="V16" s="252">
        <f t="shared" si="10"/>
        <v>-4942.600000000004</v>
      </c>
    </row>
    <row r="17" spans="1:22" s="177" customFormat="1" ht="11.1" customHeight="1">
      <c r="A17" s="1018" t="s">
        <v>1332</v>
      </c>
      <c r="B17" s="365">
        <f t="shared" ref="B17:N17" si="11">SUM(B18:B21)</f>
        <v>269251.7</v>
      </c>
      <c r="C17" s="365">
        <f t="shared" si="11"/>
        <v>334930</v>
      </c>
      <c r="D17" s="365">
        <f t="shared" si="11"/>
        <v>-65678.300000000017</v>
      </c>
      <c r="E17" s="365">
        <f t="shared" si="11"/>
        <v>28718.6</v>
      </c>
      <c r="F17" s="365">
        <f t="shared" si="11"/>
        <v>64385.600000000006</v>
      </c>
      <c r="G17" s="365">
        <f t="shared" si="11"/>
        <v>-35667.000000000007</v>
      </c>
      <c r="H17" s="365">
        <f t="shared" si="11"/>
        <v>812.4</v>
      </c>
      <c r="I17" s="365">
        <f t="shared" si="11"/>
        <v>21662.2</v>
      </c>
      <c r="J17" s="365">
        <f t="shared" si="11"/>
        <v>-20849.8</v>
      </c>
      <c r="K17" s="365">
        <f t="shared" si="11"/>
        <v>343.8</v>
      </c>
      <c r="L17" s="365">
        <f t="shared" si="11"/>
        <v>105172.20000000001</v>
      </c>
      <c r="M17" s="365">
        <f t="shared" si="11"/>
        <v>105516</v>
      </c>
      <c r="N17" s="365">
        <f t="shared" si="11"/>
        <v>-16679.10000000002</v>
      </c>
      <c r="O17" s="1018" t="s">
        <v>1332</v>
      </c>
      <c r="P17" s="365">
        <f t="shared" ref="P17:V17" si="12">SUM(P18:P21)</f>
        <v>2486.3999999999996</v>
      </c>
      <c r="Q17" s="365">
        <f t="shared" si="12"/>
        <v>-18863.099999999999</v>
      </c>
      <c r="R17" s="365">
        <f t="shared" si="12"/>
        <v>-1288.7</v>
      </c>
      <c r="S17" s="365">
        <f t="shared" si="12"/>
        <v>-27292</v>
      </c>
      <c r="T17" s="365">
        <f t="shared" si="12"/>
        <v>26394.400000000001</v>
      </c>
      <c r="U17" s="365">
        <f t="shared" si="12"/>
        <v>-21049.4</v>
      </c>
      <c r="V17" s="365">
        <f t="shared" si="12"/>
        <v>-6856.6999999999807</v>
      </c>
    </row>
    <row r="18" spans="1:22" s="177" customFormat="1" ht="11.1" customHeight="1">
      <c r="A18" s="1015" t="s">
        <v>1462</v>
      </c>
      <c r="B18" s="252">
        <v>62005.9</v>
      </c>
      <c r="C18" s="252">
        <v>72490.8</v>
      </c>
      <c r="D18" s="252">
        <f t="shared" si="4"/>
        <v>-10484.900000000001</v>
      </c>
      <c r="E18" s="252">
        <v>6787.5</v>
      </c>
      <c r="F18" s="252">
        <v>14905.5</v>
      </c>
      <c r="G18" s="252">
        <f t="shared" si="5"/>
        <v>-8118</v>
      </c>
      <c r="H18" s="252">
        <v>165.1</v>
      </c>
      <c r="I18" s="252">
        <v>5789.6</v>
      </c>
      <c r="J18" s="252">
        <f t="shared" si="6"/>
        <v>-5624.5</v>
      </c>
      <c r="K18" s="252">
        <v>103.4</v>
      </c>
      <c r="L18" s="252">
        <v>26671.1</v>
      </c>
      <c r="M18" s="252">
        <f t="shared" si="7"/>
        <v>26774.5</v>
      </c>
      <c r="N18" s="251">
        <f t="shared" si="8"/>
        <v>2547.0999999999985</v>
      </c>
      <c r="O18" s="1015" t="s">
        <v>1462</v>
      </c>
      <c r="P18" s="252">
        <v>493.5</v>
      </c>
      <c r="Q18" s="252">
        <v>-4754.7</v>
      </c>
      <c r="R18" s="252">
        <v>-422.9</v>
      </c>
      <c r="S18" s="252">
        <v>1061.7</v>
      </c>
      <c r="T18" s="252">
        <v>7745.3</v>
      </c>
      <c r="U18" s="251">
        <f t="shared" si="9"/>
        <v>3629.4000000000005</v>
      </c>
      <c r="V18" s="252">
        <f t="shared" si="10"/>
        <v>588.800000000002</v>
      </c>
    </row>
    <row r="19" spans="1:22" s="177" customFormat="1" ht="11.1" customHeight="1">
      <c r="A19" s="1016" t="s">
        <v>1459</v>
      </c>
      <c r="B19" s="317">
        <v>66800.100000000006</v>
      </c>
      <c r="C19" s="317">
        <v>87302</v>
      </c>
      <c r="D19" s="317">
        <f t="shared" si="4"/>
        <v>-20501.899999999994</v>
      </c>
      <c r="E19" s="317">
        <v>7364.4</v>
      </c>
      <c r="F19" s="317">
        <v>16453.2</v>
      </c>
      <c r="G19" s="317">
        <f t="shared" si="5"/>
        <v>-9088.8000000000011</v>
      </c>
      <c r="H19" s="317">
        <v>170.8</v>
      </c>
      <c r="I19" s="317">
        <v>5041.6000000000004</v>
      </c>
      <c r="J19" s="317">
        <f t="shared" si="6"/>
        <v>-4870.8</v>
      </c>
      <c r="K19" s="317">
        <v>112.6</v>
      </c>
      <c r="L19" s="317">
        <v>24143.200000000001</v>
      </c>
      <c r="M19" s="317">
        <f t="shared" si="7"/>
        <v>24255.8</v>
      </c>
      <c r="N19" s="316">
        <f t="shared" si="8"/>
        <v>-10205.700000000001</v>
      </c>
      <c r="O19" s="1016" t="s">
        <v>1459</v>
      </c>
      <c r="P19" s="317">
        <v>949.8</v>
      </c>
      <c r="Q19" s="317">
        <v>-6481.3</v>
      </c>
      <c r="R19" s="317">
        <v>-3148.9</v>
      </c>
      <c r="S19" s="317">
        <v>-10725.6</v>
      </c>
      <c r="T19" s="317">
        <v>10290</v>
      </c>
      <c r="U19" s="316">
        <f t="shared" si="9"/>
        <v>-10065.800000000003</v>
      </c>
      <c r="V19" s="317">
        <f t="shared" si="10"/>
        <v>-809.90000000000146</v>
      </c>
    </row>
    <row r="20" spans="1:22" s="177" customFormat="1" ht="11.1" customHeight="1">
      <c r="A20" s="1015" t="s">
        <v>1460</v>
      </c>
      <c r="B20" s="252">
        <v>70661.899999999994</v>
      </c>
      <c r="C20" s="252">
        <v>88241.600000000006</v>
      </c>
      <c r="D20" s="252">
        <f t="shared" si="4"/>
        <v>-17579.700000000012</v>
      </c>
      <c r="E20" s="252">
        <v>7320.8</v>
      </c>
      <c r="F20" s="252">
        <v>16659.400000000001</v>
      </c>
      <c r="G20" s="252">
        <f t="shared" si="5"/>
        <v>-9338.6000000000022</v>
      </c>
      <c r="H20" s="252">
        <v>204.4</v>
      </c>
      <c r="I20" s="252">
        <v>5107.5</v>
      </c>
      <c r="J20" s="252">
        <f t="shared" si="6"/>
        <v>-4903.1000000000004</v>
      </c>
      <c r="K20" s="252">
        <v>83.2</v>
      </c>
      <c r="L20" s="252">
        <v>24602.400000000001</v>
      </c>
      <c r="M20" s="252">
        <f t="shared" si="7"/>
        <v>24685.600000000002</v>
      </c>
      <c r="N20" s="251">
        <f t="shared" si="8"/>
        <v>-7135.8000000000138</v>
      </c>
      <c r="O20" s="1015" t="s">
        <v>1460</v>
      </c>
      <c r="P20" s="252">
        <v>450.3</v>
      </c>
      <c r="Q20" s="252">
        <v>-3739.3</v>
      </c>
      <c r="R20" s="252">
        <v>745.3</v>
      </c>
      <c r="S20" s="252">
        <v>-4348.7</v>
      </c>
      <c r="T20" s="252">
        <v>-517.5</v>
      </c>
      <c r="U20" s="251">
        <f t="shared" si="9"/>
        <v>-7860.2</v>
      </c>
      <c r="V20" s="252">
        <f t="shared" si="10"/>
        <v>-1174.6999999999862</v>
      </c>
    </row>
    <row r="21" spans="1:22" s="177" customFormat="1" ht="11.1" customHeight="1">
      <c r="A21" s="1016" t="s">
        <v>1461</v>
      </c>
      <c r="B21" s="317">
        <v>69783.8</v>
      </c>
      <c r="C21" s="317">
        <v>86895.6</v>
      </c>
      <c r="D21" s="317">
        <f t="shared" si="4"/>
        <v>-17111.800000000003</v>
      </c>
      <c r="E21" s="317">
        <v>7245.9</v>
      </c>
      <c r="F21" s="317">
        <v>16367.5</v>
      </c>
      <c r="G21" s="317">
        <f t="shared" si="5"/>
        <v>-9121.6</v>
      </c>
      <c r="H21" s="317">
        <v>272.10000000000002</v>
      </c>
      <c r="I21" s="317">
        <v>5723.5</v>
      </c>
      <c r="J21" s="317">
        <f t="shared" si="6"/>
        <v>-5451.4</v>
      </c>
      <c r="K21" s="317">
        <v>44.6</v>
      </c>
      <c r="L21" s="317">
        <v>29755.5</v>
      </c>
      <c r="M21" s="317">
        <f t="shared" si="7"/>
        <v>29800.1</v>
      </c>
      <c r="N21" s="316">
        <f t="shared" si="8"/>
        <v>-1884.7000000000044</v>
      </c>
      <c r="O21" s="1016" t="s">
        <v>1461</v>
      </c>
      <c r="P21" s="317">
        <v>592.79999999999995</v>
      </c>
      <c r="Q21" s="317">
        <v>-3887.8</v>
      </c>
      <c r="R21" s="317">
        <v>1537.8</v>
      </c>
      <c r="S21" s="317">
        <v>-13279.4</v>
      </c>
      <c r="T21" s="317">
        <v>8876.6</v>
      </c>
      <c r="U21" s="316">
        <f t="shared" si="9"/>
        <v>-6752.7999999999993</v>
      </c>
      <c r="V21" s="317">
        <f t="shared" si="10"/>
        <v>-5460.8999999999951</v>
      </c>
    </row>
    <row r="22" spans="1:22" s="177" customFormat="1" ht="11.1" customHeight="1">
      <c r="A22" s="1017" t="s">
        <v>1471</v>
      </c>
      <c r="B22" s="373">
        <f t="shared" ref="B22:N22" si="13">SUM(B23:B26)</f>
        <v>297456.2</v>
      </c>
      <c r="C22" s="373">
        <f t="shared" si="13"/>
        <v>447422.4</v>
      </c>
      <c r="D22" s="373">
        <f t="shared" si="13"/>
        <v>-149966.20000000001</v>
      </c>
      <c r="E22" s="373">
        <f t="shared" si="13"/>
        <v>37062.899999999994</v>
      </c>
      <c r="F22" s="373">
        <f t="shared" si="13"/>
        <v>76200.299999999988</v>
      </c>
      <c r="G22" s="373">
        <f t="shared" si="13"/>
        <v>-39137.399999999994</v>
      </c>
      <c r="H22" s="373">
        <f t="shared" si="13"/>
        <v>1035.0999999999999</v>
      </c>
      <c r="I22" s="373">
        <f t="shared" si="13"/>
        <v>18647.8</v>
      </c>
      <c r="J22" s="373">
        <f t="shared" si="13"/>
        <v>-17612.7</v>
      </c>
      <c r="K22" s="373">
        <f t="shared" si="13"/>
        <v>397.6</v>
      </c>
      <c r="L22" s="373">
        <f t="shared" si="13"/>
        <v>126970.9</v>
      </c>
      <c r="M22" s="373">
        <f t="shared" si="13"/>
        <v>127368.5</v>
      </c>
      <c r="N22" s="373">
        <f t="shared" si="13"/>
        <v>-79347.799999999988</v>
      </c>
      <c r="O22" s="1017" t="s">
        <v>1471</v>
      </c>
      <c r="P22" s="373">
        <f t="shared" ref="P22:V22" si="14">SUM(P23:P26)</f>
        <v>2398.6999999999998</v>
      </c>
      <c r="Q22" s="373">
        <f t="shared" si="14"/>
        <v>-14874.099999999999</v>
      </c>
      <c r="R22" s="373">
        <f t="shared" si="14"/>
        <v>664.4</v>
      </c>
      <c r="S22" s="373">
        <f t="shared" si="14"/>
        <v>-59732.399999999994</v>
      </c>
      <c r="T22" s="373">
        <f t="shared" si="14"/>
        <v>-6402.3</v>
      </c>
      <c r="U22" s="373">
        <f t="shared" si="14"/>
        <v>-80344.399999999994</v>
      </c>
      <c r="V22" s="373">
        <f t="shared" si="14"/>
        <v>-3395.299999999992</v>
      </c>
    </row>
    <row r="23" spans="1:22" s="177" customFormat="1" ht="11.1" customHeight="1">
      <c r="A23" s="1016" t="s">
        <v>1462</v>
      </c>
      <c r="B23" s="317">
        <v>68969.8</v>
      </c>
      <c r="C23" s="317">
        <v>98425.8</v>
      </c>
      <c r="D23" s="317">
        <f t="shared" ref="D23:D31" si="15">B23-C23</f>
        <v>-29456</v>
      </c>
      <c r="E23" s="317">
        <v>7797.9</v>
      </c>
      <c r="F23" s="317">
        <v>16636.8</v>
      </c>
      <c r="G23" s="317">
        <f t="shared" ref="G23:G31" si="16">E23-F23</f>
        <v>-8838.9</v>
      </c>
      <c r="H23" s="317">
        <v>224.6</v>
      </c>
      <c r="I23" s="317">
        <v>4263.6000000000004</v>
      </c>
      <c r="J23" s="317">
        <f t="shared" ref="J23:J31" si="17">H23-I23</f>
        <v>-4039.0000000000005</v>
      </c>
      <c r="K23" s="317">
        <v>97.2</v>
      </c>
      <c r="L23" s="317">
        <v>27772.400000000001</v>
      </c>
      <c r="M23" s="317">
        <f t="shared" ref="M23:M31" si="18">K23+L23</f>
        <v>27869.600000000002</v>
      </c>
      <c r="N23" s="316">
        <f t="shared" ref="N23:N31" si="19">D23+G23+J23+M23</f>
        <v>-14464.3</v>
      </c>
      <c r="O23" s="1016" t="s">
        <v>1462</v>
      </c>
      <c r="P23" s="317">
        <v>519.29999999999995</v>
      </c>
      <c r="Q23" s="317">
        <v>-1710.9</v>
      </c>
      <c r="R23" s="317">
        <v>573.1</v>
      </c>
      <c r="S23" s="317">
        <v>-8333.2999999999993</v>
      </c>
      <c r="T23" s="317">
        <v>-6625</v>
      </c>
      <c r="U23" s="316">
        <f t="shared" ref="U23:U31" si="20">Q23+R23+S23+T23</f>
        <v>-16096.099999999999</v>
      </c>
      <c r="V23" s="317">
        <f t="shared" ref="V23:V31" si="21">-(N23+P23-U23)</f>
        <v>-2151.0999999999985</v>
      </c>
    </row>
    <row r="24" spans="1:22" s="177" customFormat="1" ht="11.1" customHeight="1">
      <c r="A24" s="1015" t="s">
        <v>1459</v>
      </c>
      <c r="B24" s="252">
        <v>74553.600000000006</v>
      </c>
      <c r="C24" s="252">
        <v>115042.6</v>
      </c>
      <c r="D24" s="252">
        <f t="shared" si="15"/>
        <v>-40489</v>
      </c>
      <c r="E24" s="252">
        <v>8780.4</v>
      </c>
      <c r="F24" s="252">
        <v>18716.099999999999</v>
      </c>
      <c r="G24" s="252">
        <f t="shared" si="16"/>
        <v>-9935.6999999999989</v>
      </c>
      <c r="H24" s="252">
        <v>191.4</v>
      </c>
      <c r="I24" s="252">
        <v>5033.5</v>
      </c>
      <c r="J24" s="252">
        <f t="shared" si="17"/>
        <v>-4842.1000000000004</v>
      </c>
      <c r="K24" s="252">
        <v>219.1</v>
      </c>
      <c r="L24" s="252">
        <v>30119.4</v>
      </c>
      <c r="M24" s="252">
        <f t="shared" si="18"/>
        <v>30338.5</v>
      </c>
      <c r="N24" s="251">
        <f t="shared" si="19"/>
        <v>-24928.299999999996</v>
      </c>
      <c r="O24" s="1015" t="s">
        <v>1459</v>
      </c>
      <c r="P24" s="252">
        <v>798.6</v>
      </c>
      <c r="Q24" s="252">
        <v>-4203.1000000000004</v>
      </c>
      <c r="R24" s="252">
        <v>-1450.2</v>
      </c>
      <c r="S24" s="252">
        <v>-16810.8</v>
      </c>
      <c r="T24" s="252">
        <v>3232.9</v>
      </c>
      <c r="U24" s="251">
        <f t="shared" si="20"/>
        <v>-19231.199999999997</v>
      </c>
      <c r="V24" s="252">
        <f t="shared" si="21"/>
        <v>4898.5</v>
      </c>
    </row>
    <row r="25" spans="1:22" s="177" customFormat="1" ht="11.1" customHeight="1">
      <c r="A25" s="1016" t="s">
        <v>1460</v>
      </c>
      <c r="B25" s="317">
        <v>78019.399999999994</v>
      </c>
      <c r="C25" s="317">
        <v>115941.7</v>
      </c>
      <c r="D25" s="317">
        <f t="shared" si="15"/>
        <v>-37922.300000000003</v>
      </c>
      <c r="E25" s="317">
        <v>9475.9</v>
      </c>
      <c r="F25" s="317">
        <v>18471.3</v>
      </c>
      <c r="G25" s="317">
        <f t="shared" si="16"/>
        <v>-8995.4</v>
      </c>
      <c r="H25" s="317">
        <v>251.7</v>
      </c>
      <c r="I25" s="317">
        <v>4551.7</v>
      </c>
      <c r="J25" s="317">
        <f t="shared" si="17"/>
        <v>-4300</v>
      </c>
      <c r="K25" s="317">
        <v>41.7</v>
      </c>
      <c r="L25" s="317">
        <v>32444.2</v>
      </c>
      <c r="M25" s="317">
        <f t="shared" si="18"/>
        <v>32485.9</v>
      </c>
      <c r="N25" s="316">
        <f t="shared" si="19"/>
        <v>-18731.800000000003</v>
      </c>
      <c r="O25" s="1016" t="s">
        <v>1460</v>
      </c>
      <c r="P25" s="317">
        <v>554.6</v>
      </c>
      <c r="Q25" s="317">
        <v>-3082.8</v>
      </c>
      <c r="R25" s="317">
        <v>451</v>
      </c>
      <c r="S25" s="317">
        <v>-8851.2999999999993</v>
      </c>
      <c r="T25" s="317">
        <v>-8321.9</v>
      </c>
      <c r="U25" s="316">
        <f t="shared" si="20"/>
        <v>-19805</v>
      </c>
      <c r="V25" s="317">
        <f t="shared" si="21"/>
        <v>-1627.7999999999956</v>
      </c>
    </row>
    <row r="26" spans="1:22" s="177" customFormat="1" ht="11.1" customHeight="1">
      <c r="A26" s="1015" t="s">
        <v>1461</v>
      </c>
      <c r="B26" s="252">
        <v>75913.399999999994</v>
      </c>
      <c r="C26" s="252">
        <v>118012.3</v>
      </c>
      <c r="D26" s="252">
        <f t="shared" si="15"/>
        <v>-42098.900000000009</v>
      </c>
      <c r="E26" s="252">
        <v>11008.7</v>
      </c>
      <c r="F26" s="252">
        <v>22376.1</v>
      </c>
      <c r="G26" s="252">
        <f t="shared" si="16"/>
        <v>-11367.399999999998</v>
      </c>
      <c r="H26" s="252">
        <v>367.4</v>
      </c>
      <c r="I26" s="252">
        <v>4799</v>
      </c>
      <c r="J26" s="252">
        <f t="shared" si="17"/>
        <v>-4431.6000000000004</v>
      </c>
      <c r="K26" s="252">
        <v>39.6</v>
      </c>
      <c r="L26" s="252">
        <v>36634.9</v>
      </c>
      <c r="M26" s="252">
        <f t="shared" si="18"/>
        <v>36674.5</v>
      </c>
      <c r="N26" s="252">
        <f t="shared" si="19"/>
        <v>-21223.4</v>
      </c>
      <c r="O26" s="1015" t="s">
        <v>1461</v>
      </c>
      <c r="P26" s="252">
        <v>526.20000000000005</v>
      </c>
      <c r="Q26" s="252">
        <v>-5877.3</v>
      </c>
      <c r="R26" s="252">
        <v>1090.5</v>
      </c>
      <c r="S26" s="252">
        <v>-25737</v>
      </c>
      <c r="T26" s="252">
        <v>5311.7</v>
      </c>
      <c r="U26" s="251">
        <f t="shared" si="20"/>
        <v>-25212.1</v>
      </c>
      <c r="V26" s="252">
        <f t="shared" si="21"/>
        <v>-4514.8999999999978</v>
      </c>
    </row>
    <row r="27" spans="1:22" s="177" customFormat="1" ht="11.1" customHeight="1">
      <c r="A27" s="1018" t="s">
        <v>1600</v>
      </c>
      <c r="B27" s="1013">
        <f t="shared" ref="B27:N27" si="22">SUM(B28:B31)</f>
        <v>335633.30000000005</v>
      </c>
      <c r="C27" s="1013">
        <f t="shared" si="22"/>
        <v>465793.29999999993</v>
      </c>
      <c r="D27" s="1014">
        <f t="shared" si="22"/>
        <v>-130160</v>
      </c>
      <c r="E27" s="1014">
        <f t="shared" si="22"/>
        <v>50849.100000000006</v>
      </c>
      <c r="F27" s="1014">
        <f t="shared" si="22"/>
        <v>79728</v>
      </c>
      <c r="G27" s="1014">
        <f t="shared" si="22"/>
        <v>-28878.899999999994</v>
      </c>
      <c r="H27" s="1014">
        <f t="shared" si="22"/>
        <v>3522.7999999999997</v>
      </c>
      <c r="I27" s="1014">
        <f t="shared" si="22"/>
        <v>20633.8</v>
      </c>
      <c r="J27" s="1014">
        <f t="shared" si="22"/>
        <v>-17111</v>
      </c>
      <c r="K27" s="1014">
        <f t="shared" si="22"/>
        <v>195</v>
      </c>
      <c r="L27" s="1014">
        <f t="shared" si="22"/>
        <v>142465.79999999999</v>
      </c>
      <c r="M27" s="1014">
        <f t="shared" si="22"/>
        <v>142660.79999999999</v>
      </c>
      <c r="N27" s="1014">
        <f t="shared" si="22"/>
        <v>-33489.099999999984</v>
      </c>
      <c r="O27" s="1018" t="s">
        <v>1600</v>
      </c>
      <c r="P27" s="1013">
        <f t="shared" ref="P27:V27" si="23">SUM(P28:P31)</f>
        <v>1955.5</v>
      </c>
      <c r="Q27" s="1013">
        <f t="shared" si="23"/>
        <v>-22072.3</v>
      </c>
      <c r="R27" s="1013">
        <f t="shared" si="23"/>
        <v>1609.1999999999998</v>
      </c>
      <c r="S27" s="1013">
        <f t="shared" si="23"/>
        <v>-20294.7</v>
      </c>
      <c r="T27" s="1013">
        <f t="shared" si="23"/>
        <v>-831.5</v>
      </c>
      <c r="U27" s="1013">
        <f t="shared" si="23"/>
        <v>-41589.300000000003</v>
      </c>
      <c r="V27" s="1013">
        <f t="shared" si="23"/>
        <v>-10055.700000000017</v>
      </c>
    </row>
    <row r="28" spans="1:22" s="177" customFormat="1" ht="11.1" customHeight="1">
      <c r="A28" s="1015" t="s">
        <v>1462</v>
      </c>
      <c r="B28" s="252">
        <v>81626.899999999994</v>
      </c>
      <c r="C28" s="252">
        <v>113892.6</v>
      </c>
      <c r="D28" s="252">
        <f t="shared" si="15"/>
        <v>-32265.700000000012</v>
      </c>
      <c r="E28" s="252">
        <v>12108.4</v>
      </c>
      <c r="F28" s="252">
        <v>18476.599999999999</v>
      </c>
      <c r="G28" s="252">
        <f t="shared" si="16"/>
        <v>-6368.1999999999989</v>
      </c>
      <c r="H28" s="252">
        <v>308.89999999999998</v>
      </c>
      <c r="I28" s="252">
        <v>4783.1000000000004</v>
      </c>
      <c r="J28" s="252">
        <f t="shared" si="17"/>
        <v>-4474.2000000000007</v>
      </c>
      <c r="K28" s="252">
        <v>75.7</v>
      </c>
      <c r="L28" s="252">
        <v>33108.800000000003</v>
      </c>
      <c r="M28" s="252">
        <f t="shared" si="18"/>
        <v>33184.5</v>
      </c>
      <c r="N28" s="252">
        <f t="shared" si="19"/>
        <v>-9923.6000000000058</v>
      </c>
      <c r="O28" s="1015" t="s">
        <v>1462</v>
      </c>
      <c r="P28" s="252">
        <v>370.5</v>
      </c>
      <c r="Q28" s="252">
        <v>-5019.8</v>
      </c>
      <c r="R28" s="252">
        <v>1079.5999999999999</v>
      </c>
      <c r="S28" s="252">
        <v>7321.5</v>
      </c>
      <c r="T28" s="252">
        <v>-7263.3</v>
      </c>
      <c r="U28" s="252">
        <f t="shared" si="20"/>
        <v>-3882.0000000000005</v>
      </c>
      <c r="V28" s="252">
        <f t="shared" si="21"/>
        <v>5671.1000000000058</v>
      </c>
    </row>
    <row r="29" spans="1:22" s="177" customFormat="1" ht="11.1" customHeight="1">
      <c r="A29" s="1016" t="s">
        <v>1459</v>
      </c>
      <c r="B29" s="317">
        <v>87356.3</v>
      </c>
      <c r="C29" s="317">
        <v>119277.2</v>
      </c>
      <c r="D29" s="317">
        <f t="shared" si="15"/>
        <v>-31920.899999999994</v>
      </c>
      <c r="E29" s="317">
        <v>12886</v>
      </c>
      <c r="F29" s="317">
        <v>20968.599999999999</v>
      </c>
      <c r="G29" s="317">
        <f t="shared" si="16"/>
        <v>-8082.5999999999985</v>
      </c>
      <c r="H29" s="317">
        <v>2338.6999999999998</v>
      </c>
      <c r="I29" s="317">
        <v>3597.2</v>
      </c>
      <c r="J29" s="317">
        <f t="shared" si="17"/>
        <v>-1258.5</v>
      </c>
      <c r="K29" s="317">
        <v>56.8</v>
      </c>
      <c r="L29" s="317">
        <v>31942.799999999999</v>
      </c>
      <c r="M29" s="317">
        <f t="shared" si="18"/>
        <v>31999.599999999999</v>
      </c>
      <c r="N29" s="317">
        <f t="shared" si="19"/>
        <v>-9262.3999999999942</v>
      </c>
      <c r="O29" s="1016" t="s">
        <v>1459</v>
      </c>
      <c r="P29" s="317">
        <v>753.9</v>
      </c>
      <c r="Q29" s="317">
        <v>-6088.9</v>
      </c>
      <c r="R29" s="317">
        <v>-2822.8</v>
      </c>
      <c r="S29" s="317">
        <v>-6719.7</v>
      </c>
      <c r="T29" s="317">
        <v>1157.3</v>
      </c>
      <c r="U29" s="317">
        <f t="shared" si="20"/>
        <v>-14474.100000000002</v>
      </c>
      <c r="V29" s="317">
        <f t="shared" si="21"/>
        <v>-5965.6000000000076</v>
      </c>
    </row>
    <row r="30" spans="1:22" s="177" customFormat="1" ht="11.1" customHeight="1">
      <c r="A30" s="1015" t="s">
        <v>1460</v>
      </c>
      <c r="B30" s="252">
        <v>86382</v>
      </c>
      <c r="C30" s="252">
        <v>122256.9</v>
      </c>
      <c r="D30" s="252">
        <f t="shared" si="15"/>
        <v>-35874.899999999994</v>
      </c>
      <c r="E30" s="252">
        <v>12386.2</v>
      </c>
      <c r="F30" s="252">
        <v>19794.2</v>
      </c>
      <c r="G30" s="252">
        <f t="shared" si="16"/>
        <v>-7408</v>
      </c>
      <c r="H30" s="252">
        <v>400</v>
      </c>
      <c r="I30" s="252">
        <v>6293.6</v>
      </c>
      <c r="J30" s="252">
        <f t="shared" si="17"/>
        <v>-5893.6</v>
      </c>
      <c r="K30" s="252">
        <v>37.299999999999997</v>
      </c>
      <c r="L30" s="252">
        <v>37661.9</v>
      </c>
      <c r="M30" s="252">
        <f t="shared" si="18"/>
        <v>37699.200000000004</v>
      </c>
      <c r="N30" s="252">
        <f t="shared" si="19"/>
        <v>-11477.299999999988</v>
      </c>
      <c r="O30" s="1015" t="s">
        <v>1460</v>
      </c>
      <c r="P30" s="252">
        <v>496.1</v>
      </c>
      <c r="Q30" s="252">
        <v>-7370</v>
      </c>
      <c r="R30" s="252">
        <v>2136.3000000000002</v>
      </c>
      <c r="S30" s="252">
        <v>-7373.4</v>
      </c>
      <c r="T30" s="252">
        <v>-4293.2</v>
      </c>
      <c r="U30" s="252">
        <f t="shared" si="20"/>
        <v>-16900.3</v>
      </c>
      <c r="V30" s="252">
        <f t="shared" si="21"/>
        <v>-5919.1000000000113</v>
      </c>
    </row>
    <row r="31" spans="1:22" s="177" customFormat="1" ht="11.1" customHeight="1">
      <c r="A31" s="1016" t="s">
        <v>1461</v>
      </c>
      <c r="B31" s="317">
        <v>80268.100000000006</v>
      </c>
      <c r="C31" s="317">
        <v>110366.6</v>
      </c>
      <c r="D31" s="317">
        <f t="shared" si="15"/>
        <v>-30098.5</v>
      </c>
      <c r="E31" s="317">
        <v>13468.5</v>
      </c>
      <c r="F31" s="317">
        <v>20488.599999999999</v>
      </c>
      <c r="G31" s="317">
        <f t="shared" si="16"/>
        <v>-7020.0999999999985</v>
      </c>
      <c r="H31" s="317">
        <v>475.2</v>
      </c>
      <c r="I31" s="317">
        <v>5959.9</v>
      </c>
      <c r="J31" s="317">
        <f t="shared" si="17"/>
        <v>-5484.7</v>
      </c>
      <c r="K31" s="317">
        <v>25.2</v>
      </c>
      <c r="L31" s="317">
        <v>39752.300000000003</v>
      </c>
      <c r="M31" s="317">
        <f t="shared" si="18"/>
        <v>39777.5</v>
      </c>
      <c r="N31" s="317">
        <f t="shared" si="19"/>
        <v>-2825.7999999999956</v>
      </c>
      <c r="O31" s="1016" t="s">
        <v>1461</v>
      </c>
      <c r="P31" s="317">
        <v>335</v>
      </c>
      <c r="Q31" s="317">
        <v>-3593.6</v>
      </c>
      <c r="R31" s="317">
        <v>1216.0999999999999</v>
      </c>
      <c r="S31" s="317">
        <v>-13523.1</v>
      </c>
      <c r="T31" s="317">
        <v>9567.7000000000007</v>
      </c>
      <c r="U31" s="317">
        <f t="shared" si="20"/>
        <v>-6332.9</v>
      </c>
      <c r="V31" s="317">
        <f t="shared" si="21"/>
        <v>-3842.100000000004</v>
      </c>
    </row>
    <row r="32" spans="1:22" s="177" customFormat="1" ht="11.1" customHeight="1">
      <c r="A32" s="1017" t="s">
        <v>1695</v>
      </c>
      <c r="B32" s="1047">
        <f t="shared" ref="B32:N32" si="24">SUM(B33:B36)</f>
        <v>280337.59999999998</v>
      </c>
      <c r="C32" s="1199">
        <f t="shared" si="24"/>
        <v>429749</v>
      </c>
      <c r="D32" s="1047">
        <f t="shared" si="24"/>
        <v>-149411.4</v>
      </c>
      <c r="E32" s="1047">
        <f t="shared" si="24"/>
        <v>50747.8</v>
      </c>
      <c r="F32" s="1047">
        <f t="shared" si="24"/>
        <v>72093.8</v>
      </c>
      <c r="G32" s="1199">
        <f t="shared" si="24"/>
        <v>-21346</v>
      </c>
      <c r="H32" s="1047">
        <f t="shared" si="24"/>
        <v>1853.9</v>
      </c>
      <c r="I32" s="1199">
        <f t="shared" si="24"/>
        <v>23355</v>
      </c>
      <c r="J32" s="1047">
        <f t="shared" si="24"/>
        <v>-21501.1</v>
      </c>
      <c r="K32" s="1047">
        <f t="shared" si="24"/>
        <v>163.69999999999999</v>
      </c>
      <c r="L32" s="1047">
        <f t="shared" si="24"/>
        <v>158938.59999999998</v>
      </c>
      <c r="M32" s="1047">
        <f t="shared" si="24"/>
        <v>159102.29999999999</v>
      </c>
      <c r="N32" s="1047">
        <f t="shared" si="24"/>
        <v>-33156.19999999999</v>
      </c>
      <c r="O32" s="1017" t="s">
        <v>1695</v>
      </c>
      <c r="P32" s="1047">
        <f t="shared" ref="P32:V32" si="25">SUM(P33:P36)</f>
        <v>2174.1999999999998</v>
      </c>
      <c r="Q32" s="1047">
        <f t="shared" si="25"/>
        <v>-10783.7</v>
      </c>
      <c r="R32" s="1047">
        <f t="shared" si="25"/>
        <v>-124.90000000000002</v>
      </c>
      <c r="S32" s="1047">
        <f t="shared" si="25"/>
        <v>-55974.5</v>
      </c>
      <c r="T32" s="1047">
        <f t="shared" si="25"/>
        <v>27451.9</v>
      </c>
      <c r="U32" s="1047">
        <f t="shared" si="25"/>
        <v>-39431.200000000004</v>
      </c>
      <c r="V32" s="1047">
        <f t="shared" si="25"/>
        <v>-8449.2000000000135</v>
      </c>
    </row>
    <row r="33" spans="1:22" s="177" customFormat="1" ht="11.1" customHeight="1">
      <c r="A33" s="1016" t="s">
        <v>1462</v>
      </c>
      <c r="B33" s="317">
        <v>80122.8</v>
      </c>
      <c r="C33" s="317">
        <v>112017.5</v>
      </c>
      <c r="D33" s="317">
        <f t="shared" ref="D33:D41" si="26">B33-C33</f>
        <v>-31894.699999999997</v>
      </c>
      <c r="E33" s="317">
        <v>12475.8</v>
      </c>
      <c r="F33" s="317">
        <v>19747.7</v>
      </c>
      <c r="G33" s="317">
        <f t="shared" ref="G33:G41" si="27">E33-F33</f>
        <v>-7271.9000000000015</v>
      </c>
      <c r="H33" s="317">
        <v>325.10000000000002</v>
      </c>
      <c r="I33" s="317">
        <v>5008.1000000000004</v>
      </c>
      <c r="J33" s="317">
        <f t="shared" ref="J33:J41" si="28">H33-I33</f>
        <v>-4683</v>
      </c>
      <c r="K33" s="317">
        <v>18.100000000000001</v>
      </c>
      <c r="L33" s="317">
        <v>38971</v>
      </c>
      <c r="M33" s="317">
        <f t="shared" ref="M33:M41" si="29">K33+L33</f>
        <v>38989.1</v>
      </c>
      <c r="N33" s="317">
        <f t="shared" ref="N33:N41" si="30">D33+G33+J33+M33</f>
        <v>-4860.5</v>
      </c>
      <c r="O33" s="1016" t="s">
        <v>1462</v>
      </c>
      <c r="P33" s="317">
        <v>240.2</v>
      </c>
      <c r="Q33" s="317">
        <v>-1436.7</v>
      </c>
      <c r="R33" s="317">
        <v>-232.3</v>
      </c>
      <c r="S33" s="317">
        <v>3195.7</v>
      </c>
      <c r="T33" s="317">
        <v>-6543.7</v>
      </c>
      <c r="U33" s="317">
        <f t="shared" ref="U33:U41" si="31">Q33+R33+S33+T33</f>
        <v>-5017</v>
      </c>
      <c r="V33" s="317">
        <f t="shared" ref="V33:V51" si="32">-(N33+P33-U33)</f>
        <v>-396.69999999999982</v>
      </c>
    </row>
    <row r="34" spans="1:22" s="177" customFormat="1" ht="11.1" customHeight="1">
      <c r="A34" s="1015" t="s">
        <v>1459</v>
      </c>
      <c r="B34" s="252">
        <v>80430.7</v>
      </c>
      <c r="C34" s="252">
        <v>117085.5</v>
      </c>
      <c r="D34" s="252">
        <f t="shared" si="26"/>
        <v>-36654.800000000003</v>
      </c>
      <c r="E34" s="252">
        <v>14153.6</v>
      </c>
      <c r="F34" s="252">
        <v>20691.2</v>
      </c>
      <c r="G34" s="252">
        <f t="shared" si="27"/>
        <v>-6537.6</v>
      </c>
      <c r="H34" s="252">
        <v>338.9</v>
      </c>
      <c r="I34" s="252">
        <v>5792.4</v>
      </c>
      <c r="J34" s="252">
        <f t="shared" si="28"/>
        <v>-5453.5</v>
      </c>
      <c r="K34" s="252">
        <v>64.400000000000006</v>
      </c>
      <c r="L34" s="252">
        <v>42870.7</v>
      </c>
      <c r="M34" s="252">
        <f t="shared" si="29"/>
        <v>42935.1</v>
      </c>
      <c r="N34" s="252">
        <f t="shared" si="30"/>
        <v>-5710.8000000000029</v>
      </c>
      <c r="O34" s="1015" t="s">
        <v>1459</v>
      </c>
      <c r="P34" s="252">
        <v>855.6</v>
      </c>
      <c r="Q34" s="252">
        <v>-3499.8</v>
      </c>
      <c r="R34" s="252">
        <v>133.6</v>
      </c>
      <c r="S34" s="252">
        <v>-13884</v>
      </c>
      <c r="T34" s="252">
        <v>5713.4</v>
      </c>
      <c r="U34" s="252">
        <f t="shared" si="31"/>
        <v>-11536.800000000001</v>
      </c>
      <c r="V34" s="252">
        <f t="shared" si="32"/>
        <v>-6681.5999999999985</v>
      </c>
    </row>
    <row r="35" spans="1:22" s="177" customFormat="1" ht="11.1" customHeight="1">
      <c r="A35" s="1016" t="s">
        <v>1460</v>
      </c>
      <c r="B35" s="317">
        <v>80628.5</v>
      </c>
      <c r="C35" s="317">
        <v>112645.4</v>
      </c>
      <c r="D35" s="317">
        <f t="shared" si="26"/>
        <v>-32016.899999999994</v>
      </c>
      <c r="E35" s="317">
        <v>13774.2</v>
      </c>
      <c r="F35" s="317">
        <v>19495.599999999999</v>
      </c>
      <c r="G35" s="317">
        <f t="shared" si="27"/>
        <v>-5721.3999999999978</v>
      </c>
      <c r="H35" s="317">
        <v>337.1</v>
      </c>
      <c r="I35" s="317">
        <v>7100.8</v>
      </c>
      <c r="J35" s="317">
        <f t="shared" si="28"/>
        <v>-6763.7</v>
      </c>
      <c r="K35" s="317">
        <v>22.9</v>
      </c>
      <c r="L35" s="317">
        <v>37934.6</v>
      </c>
      <c r="M35" s="317">
        <f t="shared" si="29"/>
        <v>37957.5</v>
      </c>
      <c r="N35" s="317">
        <f t="shared" si="30"/>
        <v>-6544.4999999999854</v>
      </c>
      <c r="O35" s="1016" t="s">
        <v>1460</v>
      </c>
      <c r="P35" s="317">
        <v>303.7</v>
      </c>
      <c r="Q35" s="317">
        <v>-3798.6</v>
      </c>
      <c r="R35" s="317">
        <v>34.6</v>
      </c>
      <c r="S35" s="317">
        <v>-9743.7999999999993</v>
      </c>
      <c r="T35" s="317">
        <v>1881.7</v>
      </c>
      <c r="U35" s="317">
        <f t="shared" si="31"/>
        <v>-11626.099999999999</v>
      </c>
      <c r="V35" s="317">
        <f t="shared" si="32"/>
        <v>-5385.3000000000129</v>
      </c>
    </row>
    <row r="36" spans="1:22" s="177" customFormat="1" ht="11.1" customHeight="1">
      <c r="A36" s="1015" t="s">
        <v>1461</v>
      </c>
      <c r="B36" s="252">
        <v>39155.599999999999</v>
      </c>
      <c r="C36" s="252">
        <v>88000.6</v>
      </c>
      <c r="D36" s="252">
        <f t="shared" si="26"/>
        <v>-48845.000000000007</v>
      </c>
      <c r="E36" s="252">
        <v>10344.200000000001</v>
      </c>
      <c r="F36" s="252">
        <v>12159.3</v>
      </c>
      <c r="G36" s="252">
        <f t="shared" si="27"/>
        <v>-1815.0999999999985</v>
      </c>
      <c r="H36" s="252">
        <v>852.8</v>
      </c>
      <c r="I36" s="252">
        <v>5453.7</v>
      </c>
      <c r="J36" s="252">
        <f t="shared" si="28"/>
        <v>-4600.8999999999996</v>
      </c>
      <c r="K36" s="252">
        <v>58.3</v>
      </c>
      <c r="L36" s="252">
        <v>39162.300000000003</v>
      </c>
      <c r="M36" s="252">
        <f t="shared" si="29"/>
        <v>39220.600000000006</v>
      </c>
      <c r="N36" s="252">
        <f t="shared" si="30"/>
        <v>-16040.400000000001</v>
      </c>
      <c r="O36" s="1015" t="s">
        <v>1461</v>
      </c>
      <c r="P36" s="252">
        <v>774.7</v>
      </c>
      <c r="Q36" s="252">
        <v>-2048.6</v>
      </c>
      <c r="R36" s="252">
        <v>-60.8</v>
      </c>
      <c r="S36" s="252">
        <v>-35542.400000000001</v>
      </c>
      <c r="T36" s="252">
        <v>26400.5</v>
      </c>
      <c r="U36" s="252">
        <f t="shared" si="31"/>
        <v>-11251.300000000003</v>
      </c>
      <c r="V36" s="252">
        <f t="shared" si="32"/>
        <v>4014.3999999999978</v>
      </c>
    </row>
    <row r="37" spans="1:22" s="177" customFormat="1" ht="11.1" customHeight="1">
      <c r="A37" s="1018" t="s">
        <v>1764</v>
      </c>
      <c r="B37" s="1014">
        <f>SUM(B38:B41)</f>
        <v>312956.5</v>
      </c>
      <c r="C37" s="1013">
        <f t="shared" ref="C37:N37" si="33">SUM(C38:C41)</f>
        <v>514608.8</v>
      </c>
      <c r="D37" s="1014">
        <f t="shared" si="33"/>
        <v>-201652.3</v>
      </c>
      <c r="E37" s="1014">
        <f t="shared" si="33"/>
        <v>63459.3</v>
      </c>
      <c r="F37" s="1014">
        <f t="shared" si="33"/>
        <v>87684</v>
      </c>
      <c r="G37" s="1014">
        <f t="shared" si="33"/>
        <v>-24224.699999999997</v>
      </c>
      <c r="H37" s="1014">
        <f t="shared" si="33"/>
        <v>2059.5</v>
      </c>
      <c r="I37" s="1014">
        <f t="shared" si="33"/>
        <v>24609.199999999997</v>
      </c>
      <c r="J37" s="1014">
        <f t="shared" si="33"/>
        <v>-22549.7</v>
      </c>
      <c r="K37" s="1014">
        <f t="shared" si="33"/>
        <v>278.10000000000002</v>
      </c>
      <c r="L37" s="1014">
        <f t="shared" si="33"/>
        <v>214737</v>
      </c>
      <c r="M37" s="1014">
        <f t="shared" si="33"/>
        <v>215015.1</v>
      </c>
      <c r="N37" s="1014">
        <f t="shared" si="33"/>
        <v>-33411.599999999977</v>
      </c>
      <c r="O37" s="1019" t="s">
        <v>1764</v>
      </c>
      <c r="P37" s="1013">
        <f t="shared" ref="P37:V37" si="34">SUM(P38:P41)</f>
        <v>1872.6999999999998</v>
      </c>
      <c r="Q37" s="1013">
        <f t="shared" si="34"/>
        <v>-11488.099999999999</v>
      </c>
      <c r="R37" s="1013">
        <f t="shared" si="34"/>
        <v>2917.3</v>
      </c>
      <c r="S37" s="1013">
        <f t="shared" si="34"/>
        <v>-107518.20000000001</v>
      </c>
      <c r="T37" s="1013">
        <f t="shared" si="34"/>
        <v>84686.399999999994</v>
      </c>
      <c r="U37" s="1013">
        <f t="shared" si="34"/>
        <v>-31402.6</v>
      </c>
      <c r="V37" s="1013">
        <f t="shared" si="34"/>
        <v>136.29999999997744</v>
      </c>
    </row>
    <row r="38" spans="1:22" s="177" customFormat="1" ht="11.1" customHeight="1">
      <c r="A38" s="1015" t="s">
        <v>1462</v>
      </c>
      <c r="B38" s="252">
        <v>80550.8</v>
      </c>
      <c r="C38" s="252">
        <v>99540.1</v>
      </c>
      <c r="D38" s="252">
        <f t="shared" si="26"/>
        <v>-18989.300000000003</v>
      </c>
      <c r="E38" s="252">
        <v>13721.9</v>
      </c>
      <c r="F38" s="252">
        <v>17991.400000000001</v>
      </c>
      <c r="G38" s="252">
        <f t="shared" si="27"/>
        <v>-4269.5000000000018</v>
      </c>
      <c r="H38" s="252">
        <v>331.1</v>
      </c>
      <c r="I38" s="252">
        <v>6015.3</v>
      </c>
      <c r="J38" s="252">
        <f t="shared" si="28"/>
        <v>-5684.2</v>
      </c>
      <c r="K38" s="252">
        <v>84.2</v>
      </c>
      <c r="L38" s="252">
        <v>57806.3</v>
      </c>
      <c r="M38" s="252">
        <f t="shared" si="29"/>
        <v>57890.5</v>
      </c>
      <c r="N38" s="252">
        <f t="shared" si="30"/>
        <v>28947.499999999996</v>
      </c>
      <c r="O38" s="1015" t="s">
        <v>1462</v>
      </c>
      <c r="P38" s="252">
        <v>427</v>
      </c>
      <c r="Q38" s="252">
        <v>-1927.4</v>
      </c>
      <c r="R38" s="252">
        <v>1444.8</v>
      </c>
      <c r="S38" s="252">
        <v>1940.9</v>
      </c>
      <c r="T38" s="252">
        <v>25437.5</v>
      </c>
      <c r="U38" s="252">
        <f t="shared" si="31"/>
        <v>26895.8</v>
      </c>
      <c r="V38" s="252">
        <f t="shared" si="32"/>
        <v>-2478.6999999999971</v>
      </c>
    </row>
    <row r="39" spans="1:22" s="177" customFormat="1" ht="11.1" customHeight="1">
      <c r="A39" s="1016" t="s">
        <v>1459</v>
      </c>
      <c r="B39" s="317">
        <v>75099.199999999997</v>
      </c>
      <c r="C39" s="317">
        <v>114396.9</v>
      </c>
      <c r="D39" s="317">
        <f t="shared" si="26"/>
        <v>-39297.699999999997</v>
      </c>
      <c r="E39" s="317">
        <v>16939.2</v>
      </c>
      <c r="F39" s="317">
        <v>21315.599999999999</v>
      </c>
      <c r="G39" s="317">
        <f t="shared" si="27"/>
        <v>-4376.3999999999978</v>
      </c>
      <c r="H39" s="317">
        <v>326.3</v>
      </c>
      <c r="I39" s="317">
        <v>7389.7</v>
      </c>
      <c r="J39" s="317">
        <f t="shared" si="28"/>
        <v>-7063.4</v>
      </c>
      <c r="K39" s="317">
        <v>80.7</v>
      </c>
      <c r="L39" s="317">
        <v>54379.8</v>
      </c>
      <c r="M39" s="317">
        <f t="shared" si="29"/>
        <v>54460.5</v>
      </c>
      <c r="N39" s="317">
        <f t="shared" si="30"/>
        <v>3723.0000000000073</v>
      </c>
      <c r="O39" s="1016" t="s">
        <v>1459</v>
      </c>
      <c r="P39" s="317">
        <v>306.5</v>
      </c>
      <c r="Q39" s="317">
        <v>-5128.8999999999996</v>
      </c>
      <c r="R39" s="317">
        <v>193.8</v>
      </c>
      <c r="S39" s="317">
        <v>-24670.7</v>
      </c>
      <c r="T39" s="317">
        <v>30175.1</v>
      </c>
      <c r="U39" s="317">
        <f t="shared" si="31"/>
        <v>569.29999999999927</v>
      </c>
      <c r="V39" s="317">
        <f t="shared" si="32"/>
        <v>-3460.200000000008</v>
      </c>
    </row>
    <row r="40" spans="1:22" s="177" customFormat="1" ht="11.1" customHeight="1">
      <c r="A40" s="1015" t="s">
        <v>1460</v>
      </c>
      <c r="B40" s="252">
        <v>77985.600000000006</v>
      </c>
      <c r="C40" s="252">
        <v>148745.5</v>
      </c>
      <c r="D40" s="252">
        <f t="shared" si="26"/>
        <v>-70759.899999999994</v>
      </c>
      <c r="E40" s="252">
        <v>15844</v>
      </c>
      <c r="F40" s="252">
        <v>23201</v>
      </c>
      <c r="G40" s="252">
        <f t="shared" si="27"/>
        <v>-7357</v>
      </c>
      <c r="H40" s="252">
        <v>653.70000000000005</v>
      </c>
      <c r="I40" s="252">
        <v>5000.6000000000004</v>
      </c>
      <c r="J40" s="252">
        <f t="shared" si="28"/>
        <v>-4346.9000000000005</v>
      </c>
      <c r="K40" s="252">
        <v>24.6</v>
      </c>
      <c r="L40" s="252">
        <v>48993.599999999999</v>
      </c>
      <c r="M40" s="252">
        <f t="shared" si="29"/>
        <v>49018.2</v>
      </c>
      <c r="N40" s="252">
        <f t="shared" si="30"/>
        <v>-33445.599999999991</v>
      </c>
      <c r="O40" s="1015" t="s">
        <v>1460</v>
      </c>
      <c r="P40" s="252">
        <v>327.3</v>
      </c>
      <c r="Q40" s="252">
        <v>-2625.9</v>
      </c>
      <c r="R40" s="252">
        <v>676.4</v>
      </c>
      <c r="S40" s="252">
        <v>-33571</v>
      </c>
      <c r="T40" s="252">
        <v>4726.8999999999996</v>
      </c>
      <c r="U40" s="252">
        <f t="shared" si="31"/>
        <v>-30793.599999999999</v>
      </c>
      <c r="V40" s="252">
        <f t="shared" si="32"/>
        <v>2324.6999999999898</v>
      </c>
    </row>
    <row r="41" spans="1:22" s="177" customFormat="1" ht="11.1" customHeight="1">
      <c r="A41" s="1016" t="s">
        <v>1461</v>
      </c>
      <c r="B41" s="317">
        <v>79320.899999999994</v>
      </c>
      <c r="C41" s="317">
        <v>151926.29999999999</v>
      </c>
      <c r="D41" s="317">
        <f t="shared" si="26"/>
        <v>-72605.399999999994</v>
      </c>
      <c r="E41" s="317">
        <v>16954.2</v>
      </c>
      <c r="F41" s="317">
        <v>25176</v>
      </c>
      <c r="G41" s="317">
        <f t="shared" si="27"/>
        <v>-8221.7999999999993</v>
      </c>
      <c r="H41" s="317">
        <v>748.4</v>
      </c>
      <c r="I41" s="317">
        <v>6203.6</v>
      </c>
      <c r="J41" s="317">
        <f t="shared" si="28"/>
        <v>-5455.2000000000007</v>
      </c>
      <c r="K41" s="317">
        <v>88.6</v>
      </c>
      <c r="L41" s="317">
        <v>53557.3</v>
      </c>
      <c r="M41" s="317">
        <f t="shared" si="29"/>
        <v>53645.9</v>
      </c>
      <c r="N41" s="317">
        <f t="shared" si="30"/>
        <v>-32636.499999999993</v>
      </c>
      <c r="O41" s="1016" t="s">
        <v>1461</v>
      </c>
      <c r="P41" s="317">
        <v>811.9</v>
      </c>
      <c r="Q41" s="317">
        <v>-1805.9</v>
      </c>
      <c r="R41" s="317">
        <v>602.29999999999995</v>
      </c>
      <c r="S41" s="317">
        <v>-51217.4</v>
      </c>
      <c r="T41" s="317">
        <v>24346.9</v>
      </c>
      <c r="U41" s="317">
        <f t="shared" si="31"/>
        <v>-28074.1</v>
      </c>
      <c r="V41" s="317">
        <f t="shared" si="32"/>
        <v>3750.4999999999927</v>
      </c>
    </row>
    <row r="42" spans="1:22" s="177" customFormat="1" ht="11.1" customHeight="1">
      <c r="A42" s="1200" t="s">
        <v>2166</v>
      </c>
      <c r="B42" s="1199">
        <f>SUM(B43:B46)</f>
        <v>425479.5</v>
      </c>
      <c r="C42" s="1047">
        <f t="shared" ref="C42:N42" si="35">SUM(C43:C46)</f>
        <v>712444.7</v>
      </c>
      <c r="D42" s="1199">
        <f t="shared" si="35"/>
        <v>-286965.19999999995</v>
      </c>
      <c r="E42" s="1199">
        <f t="shared" si="35"/>
        <v>86166</v>
      </c>
      <c r="F42" s="1199">
        <f t="shared" si="35"/>
        <v>117554.3</v>
      </c>
      <c r="G42" s="1199">
        <f t="shared" si="35"/>
        <v>-31388.300000000007</v>
      </c>
      <c r="H42" s="1199">
        <f t="shared" si="35"/>
        <v>3226.7999999999997</v>
      </c>
      <c r="I42" s="1199">
        <f t="shared" si="35"/>
        <v>26478.7</v>
      </c>
      <c r="J42" s="1199">
        <f t="shared" si="35"/>
        <v>-23251.9</v>
      </c>
      <c r="K42" s="1199">
        <f t="shared" si="35"/>
        <v>148.9</v>
      </c>
      <c r="L42" s="1199">
        <f t="shared" si="35"/>
        <v>186953.8</v>
      </c>
      <c r="M42" s="1199">
        <f t="shared" si="35"/>
        <v>187102.7</v>
      </c>
      <c r="N42" s="1199">
        <f t="shared" si="35"/>
        <v>-154502.70000000001</v>
      </c>
      <c r="O42" s="1200" t="s">
        <v>2166</v>
      </c>
      <c r="P42" s="1047">
        <f t="shared" ref="P42:V42" si="36">SUM(P43:P46)</f>
        <v>1669.8</v>
      </c>
      <c r="Q42" s="1047">
        <f t="shared" si="36"/>
        <v>-15705.4</v>
      </c>
      <c r="R42" s="1047">
        <f t="shared" si="36"/>
        <v>3088.3</v>
      </c>
      <c r="S42" s="1047">
        <f t="shared" si="36"/>
        <v>-128038.5</v>
      </c>
      <c r="T42" s="1047">
        <f t="shared" si="36"/>
        <v>-31690.5</v>
      </c>
      <c r="U42" s="1047">
        <f t="shared" si="36"/>
        <v>-172346.1</v>
      </c>
      <c r="V42" s="1047">
        <f t="shared" si="36"/>
        <v>-19513.200000000008</v>
      </c>
    </row>
    <row r="43" spans="1:22" s="177" customFormat="1" ht="11.1" customHeight="1">
      <c r="A43" s="1016" t="s">
        <v>1462</v>
      </c>
      <c r="B43" s="317">
        <v>89664.6</v>
      </c>
      <c r="C43" s="317">
        <v>147272.4</v>
      </c>
      <c r="D43" s="317">
        <f t="shared" ref="D43:D51" si="37">B43-C43</f>
        <v>-57607.799999999988</v>
      </c>
      <c r="E43" s="317">
        <v>18439.400000000001</v>
      </c>
      <c r="F43" s="317">
        <v>23105.200000000001</v>
      </c>
      <c r="G43" s="317">
        <f t="shared" ref="G43:G51" si="38">E43-F43</f>
        <v>-4665.7999999999993</v>
      </c>
      <c r="H43" s="317">
        <v>846.7</v>
      </c>
      <c r="I43" s="317">
        <v>6387.1</v>
      </c>
      <c r="J43" s="317">
        <f t="shared" ref="J43:J51" si="39">H43-I43</f>
        <v>-5540.4000000000005</v>
      </c>
      <c r="K43" s="317">
        <v>59.4</v>
      </c>
      <c r="L43" s="317">
        <v>47187.6</v>
      </c>
      <c r="M43" s="317">
        <f t="shared" ref="M43:M51" si="40">K43+L43</f>
        <v>47247</v>
      </c>
      <c r="N43" s="317">
        <f t="shared" ref="N43:N51" si="41">D43+G43+J43+M43</f>
        <v>-20566.999999999985</v>
      </c>
      <c r="O43" s="1016" t="s">
        <v>1462</v>
      </c>
      <c r="P43" s="317">
        <v>581.1</v>
      </c>
      <c r="Q43" s="317">
        <v>-3184.2</v>
      </c>
      <c r="R43" s="317">
        <v>817</v>
      </c>
      <c r="S43" s="317">
        <v>-24155</v>
      </c>
      <c r="T43" s="317">
        <v>-267.39999999999998</v>
      </c>
      <c r="U43" s="317">
        <f t="shared" ref="U43:U51" si="42">Q43+R43+S43+T43</f>
        <v>-26789.600000000002</v>
      </c>
      <c r="V43" s="317">
        <f t="shared" si="32"/>
        <v>-6803.7000000000153</v>
      </c>
    </row>
    <row r="44" spans="1:22" s="177" customFormat="1" ht="11.1" customHeight="1">
      <c r="A44" s="1015" t="s">
        <v>1459</v>
      </c>
      <c r="B44" s="252">
        <v>109026.4</v>
      </c>
      <c r="C44" s="252">
        <v>185613.8</v>
      </c>
      <c r="D44" s="252">
        <f t="shared" si="37"/>
        <v>-76587.399999999994</v>
      </c>
      <c r="E44" s="252">
        <v>22341.8</v>
      </c>
      <c r="F44" s="252">
        <v>30961.9</v>
      </c>
      <c r="G44" s="252">
        <f t="shared" si="38"/>
        <v>-8620.1000000000022</v>
      </c>
      <c r="H44" s="252">
        <v>603.79999999999995</v>
      </c>
      <c r="I44" s="252">
        <v>5996.4</v>
      </c>
      <c r="J44" s="252">
        <f t="shared" si="39"/>
        <v>-5392.5999999999995</v>
      </c>
      <c r="K44" s="252">
        <v>45.7</v>
      </c>
      <c r="L44" s="252">
        <v>42860.4</v>
      </c>
      <c r="M44" s="252">
        <f t="shared" si="40"/>
        <v>42906.1</v>
      </c>
      <c r="N44" s="252">
        <f t="shared" si="41"/>
        <v>-47694.000000000007</v>
      </c>
      <c r="O44" s="1015" t="s">
        <v>1459</v>
      </c>
      <c r="P44" s="252">
        <v>606.4</v>
      </c>
      <c r="Q44" s="252">
        <v>-6373.6</v>
      </c>
      <c r="R44" s="252">
        <v>570.1</v>
      </c>
      <c r="S44" s="252">
        <v>-40831.5</v>
      </c>
      <c r="T44" s="252">
        <v>-148</v>
      </c>
      <c r="U44" s="252">
        <f t="shared" si="42"/>
        <v>-46783</v>
      </c>
      <c r="V44" s="252">
        <f t="shared" si="32"/>
        <v>304.60000000000582</v>
      </c>
    </row>
    <row r="45" spans="1:22" s="177" customFormat="1" ht="11.1" customHeight="1">
      <c r="A45" s="1016" t="s">
        <v>1460</v>
      </c>
      <c r="B45" s="317">
        <v>113777</v>
      </c>
      <c r="C45" s="317">
        <v>193965.9</v>
      </c>
      <c r="D45" s="317">
        <f t="shared" si="37"/>
        <v>-80188.899999999994</v>
      </c>
      <c r="E45" s="317">
        <v>21237.8</v>
      </c>
      <c r="F45" s="317">
        <v>29981.4</v>
      </c>
      <c r="G45" s="317">
        <f t="shared" si="38"/>
        <v>-8743.6000000000022</v>
      </c>
      <c r="H45" s="317">
        <v>909.2</v>
      </c>
      <c r="I45" s="317">
        <v>7264.9</v>
      </c>
      <c r="J45" s="317">
        <f t="shared" si="39"/>
        <v>-6355.7</v>
      </c>
      <c r="K45" s="317">
        <v>24</v>
      </c>
      <c r="L45" s="317">
        <v>44590.5</v>
      </c>
      <c r="M45" s="317">
        <f t="shared" si="40"/>
        <v>44614.5</v>
      </c>
      <c r="N45" s="317">
        <f t="shared" si="41"/>
        <v>-50673.7</v>
      </c>
      <c r="O45" s="1016" t="s">
        <v>1460</v>
      </c>
      <c r="P45" s="317">
        <v>239.3</v>
      </c>
      <c r="Q45" s="317">
        <v>-4441.8999999999996</v>
      </c>
      <c r="R45" s="317">
        <v>590.70000000000005</v>
      </c>
      <c r="S45" s="317">
        <v>-33771.199999999997</v>
      </c>
      <c r="T45" s="317">
        <v>-16767.2</v>
      </c>
      <c r="U45" s="317">
        <f t="shared" si="42"/>
        <v>-54389.599999999991</v>
      </c>
      <c r="V45" s="317">
        <f t="shared" si="32"/>
        <v>-3955.1999999999971</v>
      </c>
    </row>
    <row r="46" spans="1:22" s="177" customFormat="1" ht="11.1" customHeight="1">
      <c r="A46" s="1015" t="s">
        <v>1461</v>
      </c>
      <c r="B46" s="252">
        <v>113011.5</v>
      </c>
      <c r="C46" s="252">
        <v>185592.6</v>
      </c>
      <c r="D46" s="252">
        <f t="shared" si="37"/>
        <v>-72581.100000000006</v>
      </c>
      <c r="E46" s="252">
        <v>24147</v>
      </c>
      <c r="F46" s="252">
        <v>33505.800000000003</v>
      </c>
      <c r="G46" s="252">
        <f t="shared" si="38"/>
        <v>-9358.8000000000029</v>
      </c>
      <c r="H46" s="252">
        <v>867.1</v>
      </c>
      <c r="I46" s="252">
        <v>6830.3</v>
      </c>
      <c r="J46" s="252">
        <f t="shared" si="39"/>
        <v>-5963.2</v>
      </c>
      <c r="K46" s="252">
        <v>19.8</v>
      </c>
      <c r="L46" s="252">
        <v>52315.3</v>
      </c>
      <c r="M46" s="252">
        <f t="shared" si="40"/>
        <v>52335.100000000006</v>
      </c>
      <c r="N46" s="252">
        <f t="shared" si="41"/>
        <v>-35568</v>
      </c>
      <c r="O46" s="1015" t="s">
        <v>1461</v>
      </c>
      <c r="P46" s="252">
        <v>243</v>
      </c>
      <c r="Q46" s="252">
        <v>-1705.7</v>
      </c>
      <c r="R46" s="252">
        <v>1110.5</v>
      </c>
      <c r="S46" s="252">
        <v>-29280.799999999999</v>
      </c>
      <c r="T46" s="252">
        <v>-14507.9</v>
      </c>
      <c r="U46" s="252">
        <f t="shared" si="42"/>
        <v>-44383.9</v>
      </c>
      <c r="V46" s="252">
        <f t="shared" si="32"/>
        <v>-9058.9000000000015</v>
      </c>
    </row>
    <row r="47" spans="1:22" s="177" customFormat="1" ht="11.1" customHeight="1">
      <c r="A47" s="1018" t="s">
        <v>2482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1018" t="s">
        <v>2482</v>
      </c>
      <c r="P47" s="317"/>
      <c r="Q47" s="317"/>
      <c r="R47" s="317"/>
      <c r="S47" s="317"/>
      <c r="T47" s="317"/>
      <c r="U47" s="317"/>
      <c r="V47" s="317"/>
    </row>
    <row r="48" spans="1:22" s="177" customFormat="1" ht="11.1" customHeight="1">
      <c r="A48" s="1015" t="s">
        <v>606</v>
      </c>
      <c r="B48" s="252">
        <v>35527.199999999997</v>
      </c>
      <c r="C48" s="252">
        <v>55074.6</v>
      </c>
      <c r="D48" s="252">
        <f t="shared" si="37"/>
        <v>-19547.400000000001</v>
      </c>
      <c r="E48" s="252">
        <v>6874.7</v>
      </c>
      <c r="F48" s="252">
        <v>9157.2000000000007</v>
      </c>
      <c r="G48" s="252">
        <f t="shared" si="38"/>
        <v>-2282.5000000000009</v>
      </c>
      <c r="H48" s="252">
        <v>218.4</v>
      </c>
      <c r="I48" s="252">
        <v>1732.7</v>
      </c>
      <c r="J48" s="252">
        <f t="shared" si="39"/>
        <v>-1514.3</v>
      </c>
      <c r="K48" s="252">
        <v>6</v>
      </c>
      <c r="L48" s="252">
        <v>20022.3</v>
      </c>
      <c r="M48" s="252">
        <f t="shared" si="40"/>
        <v>20028.3</v>
      </c>
      <c r="N48" s="252">
        <f t="shared" si="41"/>
        <v>-3315.9000000000015</v>
      </c>
      <c r="O48" s="1015" t="s">
        <v>606</v>
      </c>
      <c r="P48" s="252">
        <v>79.599999999999994</v>
      </c>
      <c r="Q48" s="252">
        <v>-1514.6</v>
      </c>
      <c r="R48" s="252">
        <v>223.1</v>
      </c>
      <c r="S48" s="252">
        <v>15344.8</v>
      </c>
      <c r="T48" s="252">
        <v>-20817.099999999999</v>
      </c>
      <c r="U48" s="252">
        <f t="shared" si="42"/>
        <v>-6763.7999999999993</v>
      </c>
      <c r="V48" s="252">
        <f t="shared" si="32"/>
        <v>-3527.4999999999977</v>
      </c>
    </row>
    <row r="49" spans="1:22" s="177" customFormat="1" ht="11.1" customHeight="1">
      <c r="A49" s="1016" t="s">
        <v>607</v>
      </c>
      <c r="B49" s="317">
        <v>41316</v>
      </c>
      <c r="C49" s="317">
        <v>64783.3</v>
      </c>
      <c r="D49" s="317">
        <f t="shared" si="37"/>
        <v>-23467.300000000003</v>
      </c>
      <c r="E49" s="317">
        <v>7127.5</v>
      </c>
      <c r="F49" s="317">
        <v>10964.9</v>
      </c>
      <c r="G49" s="317">
        <f t="shared" si="38"/>
        <v>-3837.3999999999996</v>
      </c>
      <c r="H49" s="317">
        <v>341.2</v>
      </c>
      <c r="I49" s="317">
        <v>2425.3000000000002</v>
      </c>
      <c r="J49" s="317">
        <f t="shared" si="39"/>
        <v>-2084.1000000000004</v>
      </c>
      <c r="K49" s="317">
        <v>14.8</v>
      </c>
      <c r="L49" s="317">
        <v>20100.7</v>
      </c>
      <c r="M49" s="317">
        <f t="shared" si="40"/>
        <v>20115.5</v>
      </c>
      <c r="N49" s="317">
        <f t="shared" si="41"/>
        <v>-9273.3000000000029</v>
      </c>
      <c r="O49" s="1016" t="s">
        <v>607</v>
      </c>
      <c r="P49" s="317">
        <v>196.7</v>
      </c>
      <c r="Q49" s="317">
        <v>-1474.1</v>
      </c>
      <c r="R49" s="317">
        <v>431.8</v>
      </c>
      <c r="S49" s="317">
        <v>-6498.7</v>
      </c>
      <c r="T49" s="317">
        <v>-2877.1</v>
      </c>
      <c r="U49" s="317">
        <f t="shared" si="42"/>
        <v>-10418.1</v>
      </c>
      <c r="V49" s="317">
        <f t="shared" si="32"/>
        <v>-1341.4999999999982</v>
      </c>
    </row>
    <row r="50" spans="1:22" s="177" customFormat="1" ht="11.1" customHeight="1">
      <c r="A50" s="1015" t="s">
        <v>601</v>
      </c>
      <c r="B50" s="252">
        <v>35016.300000000003</v>
      </c>
      <c r="C50" s="252">
        <v>63641.8</v>
      </c>
      <c r="D50" s="252">
        <f t="shared" si="37"/>
        <v>-28625.5</v>
      </c>
      <c r="E50" s="252">
        <v>7577.4</v>
      </c>
      <c r="F50" s="252">
        <v>10569.1</v>
      </c>
      <c r="G50" s="252">
        <f t="shared" si="38"/>
        <v>-2991.7000000000007</v>
      </c>
      <c r="H50" s="252">
        <v>342.7</v>
      </c>
      <c r="I50" s="252">
        <v>2989.3</v>
      </c>
      <c r="J50" s="252">
        <f t="shared" si="39"/>
        <v>-2646.6000000000004</v>
      </c>
      <c r="K50" s="252">
        <v>124.4</v>
      </c>
      <c r="L50" s="252">
        <v>15080.5</v>
      </c>
      <c r="M50" s="252">
        <f t="shared" si="40"/>
        <v>15204.9</v>
      </c>
      <c r="N50" s="252">
        <f t="shared" si="41"/>
        <v>-19058.900000000001</v>
      </c>
      <c r="O50" s="1015" t="s">
        <v>601</v>
      </c>
      <c r="P50" s="252">
        <v>65.099999999999994</v>
      </c>
      <c r="Q50" s="252">
        <v>-1114.3</v>
      </c>
      <c r="R50" s="252">
        <v>432.2</v>
      </c>
      <c r="S50" s="252">
        <v>2726.7</v>
      </c>
      <c r="T50" s="252">
        <v>-21190.5</v>
      </c>
      <c r="U50" s="252">
        <f t="shared" si="42"/>
        <v>-19145.900000000001</v>
      </c>
      <c r="V50" s="252">
        <f t="shared" si="32"/>
        <v>-152.09999999999854</v>
      </c>
    </row>
    <row r="51" spans="1:22" s="177" customFormat="1" ht="11.1" customHeight="1" thickBot="1">
      <c r="A51" s="2403" t="s">
        <v>608</v>
      </c>
      <c r="B51" s="695">
        <v>39782.800000000003</v>
      </c>
      <c r="C51" s="695">
        <v>59531.7</v>
      </c>
      <c r="D51" s="695">
        <f t="shared" si="37"/>
        <v>-19748.899999999994</v>
      </c>
      <c r="E51" s="695">
        <v>6908.9</v>
      </c>
      <c r="F51" s="695">
        <v>9488.7999999999993</v>
      </c>
      <c r="G51" s="695">
        <f t="shared" si="38"/>
        <v>-2579.8999999999996</v>
      </c>
      <c r="H51" s="695">
        <v>403.7</v>
      </c>
      <c r="I51" s="695">
        <v>1696.8</v>
      </c>
      <c r="J51" s="695">
        <f t="shared" si="39"/>
        <v>-1293.0999999999999</v>
      </c>
      <c r="K51" s="695">
        <v>28.1</v>
      </c>
      <c r="L51" s="695">
        <v>15256.6</v>
      </c>
      <c r="M51" s="695">
        <f t="shared" si="40"/>
        <v>15284.7</v>
      </c>
      <c r="N51" s="695">
        <f t="shared" si="41"/>
        <v>-8337.1999999999935</v>
      </c>
      <c r="O51" s="2403" t="s">
        <v>608</v>
      </c>
      <c r="P51" s="695">
        <v>373.6</v>
      </c>
      <c r="Q51" s="695">
        <v>-1091.3</v>
      </c>
      <c r="R51" s="695">
        <v>150.80000000000001</v>
      </c>
      <c r="S51" s="695">
        <v>-2255.8000000000002</v>
      </c>
      <c r="T51" s="695">
        <v>-7973.3</v>
      </c>
      <c r="U51" s="695">
        <f t="shared" si="42"/>
        <v>-11169.6</v>
      </c>
      <c r="V51" s="695">
        <f t="shared" si="32"/>
        <v>-3206.0000000000073</v>
      </c>
    </row>
    <row r="52" spans="1:22" s="177" customFormat="1">
      <c r="A52" s="186" t="s">
        <v>1523</v>
      </c>
      <c r="B52" s="1953" t="s">
        <v>1438</v>
      </c>
      <c r="C52" s="1953"/>
      <c r="D52" s="1953"/>
      <c r="E52" s="1953"/>
      <c r="F52" s="1953"/>
      <c r="G52" s="1953"/>
      <c r="H52" s="187" t="s">
        <v>16</v>
      </c>
      <c r="I52" s="1921" t="s">
        <v>1437</v>
      </c>
      <c r="J52" s="1921"/>
      <c r="K52" s="1921"/>
      <c r="L52" s="1921"/>
      <c r="M52" s="1420"/>
      <c r="N52" s="1420"/>
      <c r="O52" s="107" t="s">
        <v>789</v>
      </c>
      <c r="P52" s="188" t="s">
        <v>1524</v>
      </c>
      <c r="Q52" s="188"/>
      <c r="R52" s="188"/>
      <c r="S52" s="188"/>
      <c r="T52" s="188"/>
      <c r="U52" s="188"/>
      <c r="V52" s="188"/>
    </row>
    <row r="53" spans="1:22" s="177" customFormat="1">
      <c r="A53" s="175"/>
      <c r="B53" s="188" t="s">
        <v>270</v>
      </c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88" t="s">
        <v>1525</v>
      </c>
      <c r="Q53" s="188"/>
      <c r="R53" s="188"/>
      <c r="S53" s="188"/>
      <c r="T53" s="188"/>
      <c r="U53" s="188"/>
      <c r="V53" s="188"/>
    </row>
    <row r="54" spans="1:22" s="177" customFormat="1">
      <c r="P54" s="188" t="s">
        <v>270</v>
      </c>
    </row>
    <row r="55" spans="1:22" s="177" customFormat="1">
      <c r="Q55" s="512"/>
    </row>
    <row r="56" spans="1:22" s="177" customFormat="1">
      <c r="G56" s="189"/>
    </row>
    <row r="57" spans="1:22" s="177" customFormat="1"/>
    <row r="58" spans="1:22" s="177" customFormat="1"/>
    <row r="59" spans="1:22" s="177" customFormat="1"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</row>
    <row r="60" spans="1:22" s="177" customFormat="1">
      <c r="V60" s="189"/>
    </row>
    <row r="61" spans="1:22" s="177" customFormat="1">
      <c r="G61" s="189"/>
    </row>
    <row r="62" spans="1:22" s="177" customFormat="1"/>
    <row r="63" spans="1:22" s="177" customFormat="1"/>
    <row r="64" spans="1:22" s="177" customFormat="1"/>
    <row r="65" spans="7:7" s="177" customFormat="1"/>
    <row r="66" spans="7:7" s="177" customFormat="1"/>
    <row r="67" spans="7:7" s="177" customFormat="1"/>
    <row r="68" spans="7:7" s="177" customFormat="1"/>
    <row r="69" spans="7:7" s="177" customFormat="1"/>
    <row r="70" spans="7:7" s="177" customFormat="1"/>
    <row r="71" spans="7:7" s="177" customFormat="1">
      <c r="G71" s="189"/>
    </row>
    <row r="72" spans="7:7" s="177" customFormat="1"/>
    <row r="73" spans="7:7" s="177" customFormat="1"/>
    <row r="74" spans="7:7" s="177" customFormat="1"/>
    <row r="75" spans="7:7" s="177" customFormat="1"/>
    <row r="76" spans="7:7" s="177" customFormat="1"/>
    <row r="77" spans="7:7" s="177" customFormat="1"/>
    <row r="78" spans="7:7" s="177" customFormat="1"/>
    <row r="79" spans="7:7" s="177" customFormat="1"/>
    <row r="80" spans="7:7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 s="177" customFormat="1"/>
    <row r="163" spans="1:2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</row>
    <row r="164" spans="1:2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</row>
    <row r="165" spans="1:2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</row>
    <row r="166" spans="1:2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</row>
    <row r="167" spans="1:2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</row>
    <row r="168" spans="1:2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</row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  <row r="174" spans="1:2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B52:G52"/>
    <mergeCell ref="I52:L52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45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4"/>
  <sheetViews>
    <sheetView zoomScale="160" zoomScaleNormal="16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L38" sqref="L38"/>
    </sheetView>
  </sheetViews>
  <sheetFormatPr defaultRowHeight="12.75"/>
  <cols>
    <col min="1" max="1" width="7.85546875" style="1373" customWidth="1"/>
    <col min="2" max="2" width="8.28515625" style="1373" customWidth="1"/>
    <col min="3" max="3" width="9.42578125" style="1373" customWidth="1"/>
    <col min="4" max="4" width="9.140625" style="1373"/>
    <col min="5" max="6" width="8.28515625" style="1373" customWidth="1"/>
    <col min="7" max="7" width="9.140625" style="1373"/>
    <col min="8" max="8" width="8.5703125" style="1373" customWidth="1"/>
    <col min="9" max="9" width="9.85546875" style="1373" customWidth="1"/>
    <col min="10" max="16384" width="9.140625" style="1373"/>
  </cols>
  <sheetData>
    <row r="1" spans="1:9" ht="15.75" customHeight="1">
      <c r="A1" s="2070" t="s">
        <v>1398</v>
      </c>
      <c r="B1" s="2070"/>
      <c r="C1" s="2070"/>
      <c r="D1" s="2070"/>
      <c r="E1" s="2070"/>
      <c r="F1" s="2070"/>
      <c r="G1" s="2070"/>
      <c r="H1" s="158"/>
      <c r="I1" s="159" t="s">
        <v>345</v>
      </c>
    </row>
    <row r="2" spans="1:9" ht="15" customHeight="1">
      <c r="A2" s="2070"/>
      <c r="B2" s="2070"/>
      <c r="C2" s="2070"/>
      <c r="D2" s="2070"/>
      <c r="E2" s="2070"/>
      <c r="F2" s="2070"/>
      <c r="G2" s="2070"/>
      <c r="H2" s="158"/>
    </row>
    <row r="3" spans="1:9" ht="10.5" customHeight="1">
      <c r="A3" s="1267"/>
      <c r="B3" s="1268"/>
      <c r="C3" s="1268"/>
      <c r="D3" s="1268"/>
      <c r="F3" s="1136"/>
      <c r="H3" s="2071" t="s">
        <v>0</v>
      </c>
      <c r="I3" s="2071"/>
    </row>
    <row r="4" spans="1:9" s="160" customFormat="1" ht="12.95" customHeight="1">
      <c r="A4" s="2072" t="s">
        <v>527</v>
      </c>
      <c r="B4" s="2074" t="s">
        <v>364</v>
      </c>
      <c r="C4" s="2075"/>
      <c r="D4" s="2075"/>
      <c r="E4" s="2076"/>
      <c r="F4" s="2074" t="s">
        <v>365</v>
      </c>
      <c r="G4" s="2075"/>
      <c r="H4" s="2075"/>
      <c r="I4" s="2076"/>
    </row>
    <row r="5" spans="1:9" ht="36">
      <c r="A5" s="2073"/>
      <c r="B5" s="1137" t="s">
        <v>848</v>
      </c>
      <c r="C5" s="1137" t="s">
        <v>870</v>
      </c>
      <c r="D5" s="1137" t="s">
        <v>872</v>
      </c>
      <c r="E5" s="910" t="s">
        <v>366</v>
      </c>
      <c r="F5" s="1137" t="s">
        <v>849</v>
      </c>
      <c r="G5" s="1137" t="s">
        <v>873</v>
      </c>
      <c r="H5" s="1137" t="s">
        <v>871</v>
      </c>
      <c r="I5" s="910" t="s">
        <v>367</v>
      </c>
    </row>
    <row r="6" spans="1:9" s="56" customFormat="1" ht="14.1" customHeight="1">
      <c r="A6" s="344" t="s">
        <v>81</v>
      </c>
      <c r="B6" s="973">
        <v>515.14</v>
      </c>
      <c r="C6" s="973">
        <v>331.1</v>
      </c>
      <c r="D6" s="973">
        <v>66.78</v>
      </c>
      <c r="E6" s="973">
        <v>913.02</v>
      </c>
      <c r="F6" s="973">
        <v>5014.96</v>
      </c>
      <c r="G6" s="973">
        <v>544.21</v>
      </c>
      <c r="H6" s="973">
        <v>410.29</v>
      </c>
      <c r="I6" s="975">
        <v>5969.46</v>
      </c>
    </row>
    <row r="7" spans="1:9" s="46" customFormat="1" ht="14.1" customHeight="1">
      <c r="A7" s="163" t="s">
        <v>199</v>
      </c>
      <c r="B7" s="977">
        <v>249.95</v>
      </c>
      <c r="C7" s="977">
        <v>445.19</v>
      </c>
      <c r="D7" s="977">
        <v>83.9</v>
      </c>
      <c r="E7" s="971">
        <v>779.04</v>
      </c>
      <c r="F7" s="977">
        <v>5143.7</v>
      </c>
      <c r="G7" s="977">
        <v>612.69000000000005</v>
      </c>
      <c r="H7" s="977">
        <v>462.67</v>
      </c>
      <c r="I7" s="972">
        <v>6219.0599999999995</v>
      </c>
    </row>
    <row r="8" spans="1:9" s="46" customFormat="1" ht="14.1" customHeight="1">
      <c r="A8" s="344" t="s">
        <v>792</v>
      </c>
      <c r="B8" s="973">
        <v>454.09999999999997</v>
      </c>
      <c r="C8" s="973">
        <v>542.34999999999991</v>
      </c>
      <c r="D8" s="973">
        <v>198.42999999999998</v>
      </c>
      <c r="E8" s="973">
        <v>1194.8799999999999</v>
      </c>
      <c r="F8" s="973">
        <v>4855.47</v>
      </c>
      <c r="G8" s="973">
        <v>861.44</v>
      </c>
      <c r="H8" s="973">
        <v>533.95000000000005</v>
      </c>
      <c r="I8" s="975">
        <v>6250.86</v>
      </c>
    </row>
    <row r="9" spans="1:9" s="46" customFormat="1" ht="14.1" customHeight="1">
      <c r="A9" s="620" t="s">
        <v>908</v>
      </c>
      <c r="B9" s="977">
        <v>761.03</v>
      </c>
      <c r="C9" s="977">
        <v>645.64</v>
      </c>
      <c r="D9" s="977">
        <v>323.96000000000004</v>
      </c>
      <c r="E9" s="971">
        <v>1730.63</v>
      </c>
      <c r="F9" s="977">
        <v>6333.41</v>
      </c>
      <c r="G9" s="977">
        <v>995.87</v>
      </c>
      <c r="H9" s="977">
        <v>1033.78</v>
      </c>
      <c r="I9" s="972">
        <v>8363.06</v>
      </c>
    </row>
    <row r="10" spans="1:9" s="46" customFormat="1" ht="14.1" customHeight="1">
      <c r="A10" s="344" t="s">
        <v>1108</v>
      </c>
      <c r="B10" s="973">
        <v>233.83999999999997</v>
      </c>
      <c r="C10" s="973">
        <v>795.78</v>
      </c>
      <c r="D10" s="973">
        <v>450.71999999999997</v>
      </c>
      <c r="E10" s="973">
        <v>1480.34</v>
      </c>
      <c r="F10" s="973">
        <v>6375.35</v>
      </c>
      <c r="G10" s="973">
        <v>964.83</v>
      </c>
      <c r="H10" s="973">
        <v>2000.05</v>
      </c>
      <c r="I10" s="975">
        <v>9340.23</v>
      </c>
    </row>
    <row r="11" spans="1:9" s="46" customFormat="1" ht="14.1" customHeight="1">
      <c r="A11" s="620" t="s">
        <v>1167</v>
      </c>
      <c r="B11" s="977">
        <v>528.03</v>
      </c>
      <c r="C11" s="977">
        <v>1141.3400000000001</v>
      </c>
      <c r="D11" s="977">
        <v>164.5</v>
      </c>
      <c r="E11" s="971">
        <v>1833.8700000000001</v>
      </c>
      <c r="F11" s="275">
        <v>9027.07</v>
      </c>
      <c r="G11" s="275">
        <v>1326.11</v>
      </c>
      <c r="H11" s="275">
        <v>2147.9499999999998</v>
      </c>
      <c r="I11" s="275">
        <v>12501.130000000001</v>
      </c>
    </row>
    <row r="12" spans="1:9" s="46" customFormat="1" ht="14.1" customHeight="1">
      <c r="A12" s="663" t="s">
        <v>1299</v>
      </c>
      <c r="B12" s="978">
        <v>505.55</v>
      </c>
      <c r="C12" s="978">
        <v>1154.4499999999998</v>
      </c>
      <c r="D12" s="978">
        <v>343.53</v>
      </c>
      <c r="E12" s="978">
        <v>2003.5299999999997</v>
      </c>
      <c r="F12" s="527">
        <v>9549.39</v>
      </c>
      <c r="G12" s="527">
        <v>1585.21</v>
      </c>
      <c r="H12" s="527">
        <v>2311.54</v>
      </c>
      <c r="I12" s="527">
        <v>13446.14</v>
      </c>
    </row>
    <row r="13" spans="1:9" s="46" customFormat="1" ht="14.1" customHeight="1">
      <c r="A13" s="261" t="s">
        <v>1332</v>
      </c>
      <c r="B13" s="976">
        <f>B14+B15+B16+B17</f>
        <v>1006.74</v>
      </c>
      <c r="C13" s="976">
        <f t="shared" ref="C13:E13" si="0">C14+C15+C16+C17</f>
        <v>1253</v>
      </c>
      <c r="D13" s="976">
        <f t="shared" si="0"/>
        <v>195.07</v>
      </c>
      <c r="E13" s="976">
        <f t="shared" si="0"/>
        <v>2454.81</v>
      </c>
      <c r="F13" s="528">
        <f>F17</f>
        <v>9527.51</v>
      </c>
      <c r="G13" s="528">
        <f>G17</f>
        <v>2699.93</v>
      </c>
      <c r="H13" s="528">
        <f>H17</f>
        <v>2239.13</v>
      </c>
      <c r="I13" s="980">
        <f t="shared" ref="I13" si="1">SUM(F13:H13)</f>
        <v>14466.57</v>
      </c>
    </row>
    <row r="14" spans="1:9" s="46" customFormat="1" ht="14.1" customHeight="1">
      <c r="A14" s="652" t="s">
        <v>1312</v>
      </c>
      <c r="B14" s="973">
        <v>258.52</v>
      </c>
      <c r="C14" s="973">
        <v>294.55</v>
      </c>
      <c r="D14" s="973">
        <v>60.92</v>
      </c>
      <c r="E14" s="973">
        <f t="shared" ref="E14:E42" si="2">SUM(B14:D14)</f>
        <v>613.9899999999999</v>
      </c>
      <c r="F14" s="349">
        <v>9846.48</v>
      </c>
      <c r="G14" s="349">
        <v>1517.16</v>
      </c>
      <c r="H14" s="349">
        <v>2430.59</v>
      </c>
      <c r="I14" s="974">
        <f>SUM(F14:H14)</f>
        <v>13794.23</v>
      </c>
    </row>
    <row r="15" spans="1:9" s="46" customFormat="1" ht="14.1" customHeight="1">
      <c r="A15" s="262" t="s">
        <v>1444</v>
      </c>
      <c r="B15" s="977">
        <v>486.18</v>
      </c>
      <c r="C15" s="977">
        <v>315.48</v>
      </c>
      <c r="D15" s="977">
        <v>52.07</v>
      </c>
      <c r="E15" s="977">
        <f t="shared" si="2"/>
        <v>853.73000000000013</v>
      </c>
      <c r="F15" s="275">
        <v>10735.38</v>
      </c>
      <c r="G15" s="275">
        <v>1640.2</v>
      </c>
      <c r="H15" s="275">
        <v>2163.7399999999998</v>
      </c>
      <c r="I15" s="972">
        <f>SUM(F15:H15)</f>
        <v>14539.32</v>
      </c>
    </row>
    <row r="16" spans="1:9" s="46" customFormat="1" ht="14.1" customHeight="1">
      <c r="A16" s="652" t="s">
        <v>1310</v>
      </c>
      <c r="B16" s="973">
        <v>140.35</v>
      </c>
      <c r="C16" s="973">
        <v>319.3</v>
      </c>
      <c r="D16" s="973">
        <v>36.19</v>
      </c>
      <c r="E16" s="973">
        <f t="shared" si="2"/>
        <v>495.84</v>
      </c>
      <c r="F16" s="349">
        <v>9528.91</v>
      </c>
      <c r="G16" s="349">
        <v>2705.15</v>
      </c>
      <c r="H16" s="349">
        <v>2144.1</v>
      </c>
      <c r="I16" s="973">
        <f>SUM(F16:H16)</f>
        <v>14378.16</v>
      </c>
    </row>
    <row r="17" spans="1:11" s="46" customFormat="1" ht="14.1" customHeight="1">
      <c r="A17" s="262" t="s">
        <v>1311</v>
      </c>
      <c r="B17" s="977">
        <v>121.69</v>
      </c>
      <c r="C17" s="977">
        <v>323.67</v>
      </c>
      <c r="D17" s="977">
        <v>45.89</v>
      </c>
      <c r="E17" s="977">
        <f t="shared" si="2"/>
        <v>491.25</v>
      </c>
      <c r="F17" s="275">
        <v>9527.51</v>
      </c>
      <c r="G17" s="275">
        <v>2699.93</v>
      </c>
      <c r="H17" s="275">
        <v>2239.13</v>
      </c>
      <c r="I17" s="977">
        <f>SUM(F17:H17)</f>
        <v>14466.57</v>
      </c>
    </row>
    <row r="18" spans="1:11" s="46" customFormat="1" ht="14.1" customHeight="1">
      <c r="A18" s="343" t="s">
        <v>1471</v>
      </c>
      <c r="B18" s="978">
        <f>B19+B20+B21+B22</f>
        <v>614.76</v>
      </c>
      <c r="C18" s="978">
        <f t="shared" ref="C18:E18" si="3">C19+C20+C21+C22</f>
        <v>1253.44</v>
      </c>
      <c r="D18" s="978">
        <f t="shared" si="3"/>
        <v>712.24</v>
      </c>
      <c r="E18" s="978">
        <f t="shared" si="3"/>
        <v>2580.4399999999996</v>
      </c>
      <c r="F18" s="527">
        <f>F22</f>
        <v>9895.7800000000007</v>
      </c>
      <c r="G18" s="527">
        <f>G22</f>
        <v>3080.35</v>
      </c>
      <c r="H18" s="527">
        <f>H22</f>
        <v>2815.21</v>
      </c>
      <c r="I18" s="979">
        <f t="shared" ref="I18" si="4">SUM(F18:H18)</f>
        <v>15791.34</v>
      </c>
    </row>
    <row r="19" spans="1:11" s="439" customFormat="1" ht="14.1" customHeight="1">
      <c r="A19" s="262" t="s">
        <v>1312</v>
      </c>
      <c r="B19" s="977">
        <v>154.41</v>
      </c>
      <c r="C19" s="977">
        <v>291.88</v>
      </c>
      <c r="D19" s="977">
        <v>60.86</v>
      </c>
      <c r="E19" s="977">
        <f t="shared" si="2"/>
        <v>507.15</v>
      </c>
      <c r="F19" s="275">
        <v>9696.59</v>
      </c>
      <c r="G19" s="275">
        <v>2787.24</v>
      </c>
      <c r="H19" s="275">
        <v>2263.13</v>
      </c>
      <c r="I19" s="275">
        <f>SUM(F19:H19)</f>
        <v>14746.96</v>
      </c>
    </row>
    <row r="20" spans="1:11" s="439" customFormat="1" ht="14.1" customHeight="1">
      <c r="A20" s="652" t="s">
        <v>1444</v>
      </c>
      <c r="B20" s="973">
        <v>122.45</v>
      </c>
      <c r="C20" s="973">
        <v>344.57</v>
      </c>
      <c r="D20" s="973">
        <v>190.3</v>
      </c>
      <c r="E20" s="973">
        <f t="shared" si="2"/>
        <v>657.31999999999994</v>
      </c>
      <c r="F20" s="349">
        <v>9601.6299999999992</v>
      </c>
      <c r="G20" s="349">
        <v>2697.3</v>
      </c>
      <c r="H20" s="349">
        <v>2258.29</v>
      </c>
      <c r="I20" s="349">
        <f>SUM(F20:H20)</f>
        <v>14557.220000000001</v>
      </c>
    </row>
    <row r="21" spans="1:11" s="439" customFormat="1" ht="14.1" customHeight="1">
      <c r="A21" s="262" t="s">
        <v>1310</v>
      </c>
      <c r="B21" s="275">
        <v>111.22</v>
      </c>
      <c r="C21" s="275">
        <v>324.95999999999998</v>
      </c>
      <c r="D21" s="275">
        <v>67.599999999999994</v>
      </c>
      <c r="E21" s="275">
        <f t="shared" si="2"/>
        <v>503.78</v>
      </c>
      <c r="F21" s="275">
        <v>9470.5</v>
      </c>
      <c r="G21" s="275">
        <v>2885.89</v>
      </c>
      <c r="H21" s="275">
        <v>2283.5</v>
      </c>
      <c r="I21" s="275">
        <f>SUM(F21:H21)</f>
        <v>14639.89</v>
      </c>
    </row>
    <row r="22" spans="1:11" s="439" customFormat="1" ht="14.1" customHeight="1">
      <c r="A22" s="652" t="s">
        <v>1311</v>
      </c>
      <c r="B22" s="349">
        <v>226.68</v>
      </c>
      <c r="C22" s="349">
        <v>292.02999999999997</v>
      </c>
      <c r="D22" s="349">
        <v>393.48</v>
      </c>
      <c r="E22" s="349">
        <f t="shared" si="2"/>
        <v>912.19</v>
      </c>
      <c r="F22" s="349">
        <v>9895.7800000000007</v>
      </c>
      <c r="G22" s="349">
        <v>3080.35</v>
      </c>
      <c r="H22" s="349">
        <v>2815.21</v>
      </c>
      <c r="I22" s="349">
        <f>SUM(F22:H22)</f>
        <v>15791.34</v>
      </c>
    </row>
    <row r="23" spans="1:11" s="439" customFormat="1" ht="14.1" customHeight="1">
      <c r="A23" s="846" t="s">
        <v>1600</v>
      </c>
      <c r="B23" s="976">
        <f>B24+B25+B26+B27</f>
        <v>1195.2</v>
      </c>
      <c r="C23" s="976">
        <f t="shared" ref="C23:E23" si="5">C24+C25+C26+C27</f>
        <v>1363.4599999999998</v>
      </c>
      <c r="D23" s="976">
        <f t="shared" si="5"/>
        <v>1330.33</v>
      </c>
      <c r="E23" s="976">
        <f t="shared" si="5"/>
        <v>3888.99</v>
      </c>
      <c r="F23" s="528">
        <f>F27</f>
        <v>11775.91</v>
      </c>
      <c r="G23" s="528">
        <f>G27</f>
        <v>3021.77</v>
      </c>
      <c r="H23" s="528">
        <f>H27</f>
        <v>3882.53</v>
      </c>
      <c r="I23" s="980">
        <f t="shared" ref="I23" si="6">SUM(F23:H23)</f>
        <v>18680.21</v>
      </c>
    </row>
    <row r="24" spans="1:11" s="439" customFormat="1" ht="14.1" customHeight="1">
      <c r="A24" s="652" t="s">
        <v>1312</v>
      </c>
      <c r="B24" s="349">
        <v>267.47000000000003</v>
      </c>
      <c r="C24" s="349">
        <v>311.27999999999997</v>
      </c>
      <c r="D24" s="349">
        <v>270.87</v>
      </c>
      <c r="E24" s="349">
        <f t="shared" si="2"/>
        <v>849.62</v>
      </c>
      <c r="F24" s="349">
        <v>10364.040000000001</v>
      </c>
      <c r="G24" s="349">
        <v>3076.04</v>
      </c>
      <c r="H24" s="349">
        <v>3202.41</v>
      </c>
      <c r="I24" s="349">
        <f>SUM(F24:H24)</f>
        <v>16642.490000000002</v>
      </c>
    </row>
    <row r="25" spans="1:11" s="439" customFormat="1" ht="14.1" customHeight="1">
      <c r="A25" s="262" t="s">
        <v>1444</v>
      </c>
      <c r="B25" s="275">
        <v>518.76</v>
      </c>
      <c r="C25" s="275">
        <v>380.84</v>
      </c>
      <c r="D25" s="275">
        <v>448.11</v>
      </c>
      <c r="E25" s="275">
        <f t="shared" si="2"/>
        <v>1347.71</v>
      </c>
      <c r="F25" s="275">
        <v>10865.73</v>
      </c>
      <c r="G25" s="275">
        <v>2721.98</v>
      </c>
      <c r="H25" s="275">
        <v>3473.92</v>
      </c>
      <c r="I25" s="275">
        <f>SUM(F25:H25)</f>
        <v>17061.629999999997</v>
      </c>
    </row>
    <row r="26" spans="1:11" s="439" customFormat="1" ht="14.1" customHeight="1">
      <c r="A26" s="652" t="s">
        <v>1310</v>
      </c>
      <c r="B26" s="349">
        <v>191.01</v>
      </c>
      <c r="C26" s="349">
        <v>364.82</v>
      </c>
      <c r="D26" s="349">
        <v>479.73</v>
      </c>
      <c r="E26" s="349">
        <f t="shared" si="2"/>
        <v>1035.56</v>
      </c>
      <c r="F26" s="349">
        <v>11588.82</v>
      </c>
      <c r="G26" s="349">
        <v>2880.06</v>
      </c>
      <c r="H26" s="349">
        <v>3716.13</v>
      </c>
      <c r="I26" s="349">
        <f t="shared" ref="I26:I42" si="7">SUM(F26:H26)</f>
        <v>18185.009999999998</v>
      </c>
    </row>
    <row r="27" spans="1:11" s="439" customFormat="1" ht="14.1" customHeight="1">
      <c r="A27" s="262" t="s">
        <v>1311</v>
      </c>
      <c r="B27" s="275">
        <v>217.96</v>
      </c>
      <c r="C27" s="275">
        <v>306.52</v>
      </c>
      <c r="D27" s="275">
        <v>131.62</v>
      </c>
      <c r="E27" s="275">
        <f t="shared" si="2"/>
        <v>656.1</v>
      </c>
      <c r="F27" s="275">
        <v>11775.91</v>
      </c>
      <c r="G27" s="275">
        <v>3021.77</v>
      </c>
      <c r="H27" s="275">
        <v>3882.53</v>
      </c>
      <c r="I27" s="275">
        <f t="shared" si="7"/>
        <v>18680.21</v>
      </c>
    </row>
    <row r="28" spans="1:11" s="439" customFormat="1" ht="14.1" customHeight="1">
      <c r="A28" s="663" t="s">
        <v>1695</v>
      </c>
      <c r="B28" s="978">
        <f>B29+B30+B31+B32</f>
        <v>727.93000000000006</v>
      </c>
      <c r="C28" s="978">
        <f t="shared" ref="C28:E28" si="8">C29+C30+C31+C32</f>
        <v>1510.0900000000001</v>
      </c>
      <c r="D28" s="978">
        <f t="shared" si="8"/>
        <v>132.43</v>
      </c>
      <c r="E28" s="978">
        <f t="shared" si="8"/>
        <v>2370.4499999999998</v>
      </c>
      <c r="F28" s="527">
        <f>F32</f>
        <v>12558.23</v>
      </c>
      <c r="G28" s="527">
        <f>G32</f>
        <v>3224.42</v>
      </c>
      <c r="H28" s="527">
        <f>H32</f>
        <v>2939.04</v>
      </c>
      <c r="I28" s="979">
        <f t="shared" si="7"/>
        <v>18721.689999999999</v>
      </c>
    </row>
    <row r="29" spans="1:11" s="439" customFormat="1" ht="14.1" customHeight="1">
      <c r="A29" s="262" t="s">
        <v>1312</v>
      </c>
      <c r="B29" s="275">
        <v>193.82</v>
      </c>
      <c r="C29" s="275">
        <v>328.44</v>
      </c>
      <c r="D29" s="275">
        <v>-60.06</v>
      </c>
      <c r="E29" s="275">
        <f t="shared" si="2"/>
        <v>462.2</v>
      </c>
      <c r="F29" s="275">
        <v>11892.25</v>
      </c>
      <c r="G29" s="275">
        <v>2954.37</v>
      </c>
      <c r="H29" s="275">
        <v>2464.1799999999998</v>
      </c>
      <c r="I29" s="275">
        <f t="shared" si="7"/>
        <v>17310.8</v>
      </c>
      <c r="K29" s="933"/>
    </row>
    <row r="30" spans="1:11" s="439" customFormat="1" ht="14.1" customHeight="1">
      <c r="A30" s="652" t="s">
        <v>1444</v>
      </c>
      <c r="B30" s="349">
        <v>200.91</v>
      </c>
      <c r="C30" s="349">
        <v>467.57</v>
      </c>
      <c r="D30" s="349">
        <v>51.61</v>
      </c>
      <c r="E30" s="349">
        <f t="shared" si="2"/>
        <v>720.09</v>
      </c>
      <c r="F30" s="349">
        <v>12220.87</v>
      </c>
      <c r="G30" s="349">
        <v>3011.48</v>
      </c>
      <c r="H30" s="349">
        <v>2552.63</v>
      </c>
      <c r="I30" s="349">
        <f t="shared" si="7"/>
        <v>17784.98</v>
      </c>
    </row>
    <row r="31" spans="1:11" s="439" customFormat="1" ht="14.1" customHeight="1">
      <c r="A31" s="262" t="s">
        <v>1310</v>
      </c>
      <c r="B31" s="275">
        <v>178.98</v>
      </c>
      <c r="C31" s="275">
        <v>410.93</v>
      </c>
      <c r="D31" s="275">
        <v>-7.74</v>
      </c>
      <c r="E31" s="275">
        <f t="shared" si="2"/>
        <v>582.16999999999996</v>
      </c>
      <c r="F31" s="275">
        <v>12389.63</v>
      </c>
      <c r="G31" s="275">
        <v>3411.16</v>
      </c>
      <c r="H31" s="275">
        <v>3058.03</v>
      </c>
      <c r="I31" s="275">
        <f t="shared" si="7"/>
        <v>18858.82</v>
      </c>
    </row>
    <row r="32" spans="1:11" s="439" customFormat="1" ht="14.1" customHeight="1">
      <c r="A32" s="652" t="s">
        <v>1311</v>
      </c>
      <c r="B32" s="349">
        <v>154.22</v>
      </c>
      <c r="C32" s="349">
        <v>303.14999999999998</v>
      </c>
      <c r="D32" s="349">
        <v>148.62</v>
      </c>
      <c r="E32" s="349">
        <f t="shared" si="2"/>
        <v>605.99</v>
      </c>
      <c r="F32" s="349">
        <v>12558.23</v>
      </c>
      <c r="G32" s="349">
        <v>3224.42</v>
      </c>
      <c r="H32" s="349">
        <v>2939.04</v>
      </c>
      <c r="I32" s="349">
        <f t="shared" si="7"/>
        <v>18721.689999999999</v>
      </c>
    </row>
    <row r="33" spans="1:11" s="439" customFormat="1" ht="14.1" customHeight="1">
      <c r="A33" s="846" t="s">
        <v>1764</v>
      </c>
      <c r="B33" s="976">
        <f>B34+B35+B36+B37</f>
        <v>816.17000000000007</v>
      </c>
      <c r="C33" s="976">
        <f t="shared" ref="C33:E33" si="9">C34+C35+C36+C37</f>
        <v>1585.9399999999998</v>
      </c>
      <c r="D33" s="976">
        <f t="shared" si="9"/>
        <v>105.2</v>
      </c>
      <c r="E33" s="976">
        <f t="shared" si="9"/>
        <v>2507.3100000000004</v>
      </c>
      <c r="F33" s="528">
        <f>F37</f>
        <v>13702.51</v>
      </c>
      <c r="G33" s="528">
        <f>G37</f>
        <v>3482.78</v>
      </c>
      <c r="H33" s="528">
        <f>H37</f>
        <v>2761.3</v>
      </c>
      <c r="I33" s="980">
        <f t="shared" si="7"/>
        <v>19946.59</v>
      </c>
    </row>
    <row r="34" spans="1:11" s="439" customFormat="1" ht="14.1" customHeight="1">
      <c r="A34" s="652" t="s">
        <v>1312</v>
      </c>
      <c r="B34" s="349">
        <v>138.72</v>
      </c>
      <c r="C34" s="349">
        <v>405.51</v>
      </c>
      <c r="D34" s="349">
        <v>3.33</v>
      </c>
      <c r="E34" s="349">
        <f t="shared" si="2"/>
        <v>547.56000000000006</v>
      </c>
      <c r="F34" s="349">
        <v>12744.5</v>
      </c>
      <c r="G34" s="349">
        <v>3258.61</v>
      </c>
      <c r="H34" s="349">
        <v>2654.37</v>
      </c>
      <c r="I34" s="349">
        <f t="shared" si="7"/>
        <v>18657.48</v>
      </c>
      <c r="K34" s="933"/>
    </row>
    <row r="35" spans="1:11" s="439" customFormat="1" ht="14.1" customHeight="1">
      <c r="A35" s="262" t="s">
        <v>1444</v>
      </c>
      <c r="B35" s="275">
        <v>370.37</v>
      </c>
      <c r="C35" s="275">
        <v>446.53</v>
      </c>
      <c r="D35" s="275">
        <v>10.96</v>
      </c>
      <c r="E35" s="275">
        <f t="shared" si="2"/>
        <v>827.86</v>
      </c>
      <c r="F35" s="275">
        <v>13229.07</v>
      </c>
      <c r="G35" s="275">
        <v>3325.36</v>
      </c>
      <c r="H35" s="275">
        <v>2840.33</v>
      </c>
      <c r="I35" s="275">
        <f t="shared" si="7"/>
        <v>19394.760000000002</v>
      </c>
    </row>
    <row r="36" spans="1:11" s="439" customFormat="1" ht="14.1" customHeight="1">
      <c r="A36" s="652" t="s">
        <v>1310</v>
      </c>
      <c r="B36" s="349">
        <v>140.47</v>
      </c>
      <c r="C36" s="349">
        <v>380.81</v>
      </c>
      <c r="D36" s="349">
        <v>70.47</v>
      </c>
      <c r="E36" s="349">
        <f t="shared" si="2"/>
        <v>591.75</v>
      </c>
      <c r="F36" s="349">
        <v>13921.17</v>
      </c>
      <c r="G36" s="349">
        <v>3344.12</v>
      </c>
      <c r="H36" s="349">
        <v>2804.56</v>
      </c>
      <c r="I36" s="349">
        <f t="shared" si="7"/>
        <v>20069.850000000002</v>
      </c>
    </row>
    <row r="37" spans="1:11" s="439" customFormat="1" ht="14.1" customHeight="1">
      <c r="A37" s="262" t="s">
        <v>1311</v>
      </c>
      <c r="B37" s="275">
        <v>166.61</v>
      </c>
      <c r="C37" s="275">
        <v>353.09</v>
      </c>
      <c r="D37" s="275">
        <v>20.440000000000001</v>
      </c>
      <c r="E37" s="275">
        <f t="shared" si="2"/>
        <v>540.1400000000001</v>
      </c>
      <c r="F37" s="275">
        <v>13702.51</v>
      </c>
      <c r="G37" s="275">
        <v>3482.78</v>
      </c>
      <c r="H37" s="275">
        <v>2761.3</v>
      </c>
      <c r="I37" s="275">
        <f t="shared" si="7"/>
        <v>19946.59</v>
      </c>
    </row>
    <row r="38" spans="1:11" s="439" customFormat="1" ht="14.1" customHeight="1">
      <c r="A38" s="663" t="s">
        <v>2166</v>
      </c>
      <c r="B38" s="978">
        <f>B39+B40+B41+B42</f>
        <v>1346.94</v>
      </c>
      <c r="C38" s="978">
        <f t="shared" ref="C38:E38" si="10">C39+C40+C41+C42</f>
        <v>2044.79</v>
      </c>
      <c r="D38" s="978">
        <f t="shared" si="10"/>
        <v>47.900000000000013</v>
      </c>
      <c r="E38" s="978">
        <f t="shared" si="10"/>
        <v>3439.63</v>
      </c>
      <c r="F38" s="527">
        <f>F42</f>
        <v>13937.85</v>
      </c>
      <c r="G38" s="527">
        <f>G42</f>
        <v>3695.49</v>
      </c>
      <c r="H38" s="527">
        <f>H42</f>
        <v>2870.2</v>
      </c>
      <c r="I38" s="979">
        <f t="shared" ref="I38" si="11">SUM(F38:H38)</f>
        <v>20503.54</v>
      </c>
    </row>
    <row r="39" spans="1:11" s="439" customFormat="1" ht="14.1" customHeight="1">
      <c r="A39" s="1411" t="s">
        <v>1312</v>
      </c>
      <c r="B39" s="275">
        <v>287.10000000000002</v>
      </c>
      <c r="C39" s="275">
        <v>383.75</v>
      </c>
      <c r="D39" s="275">
        <v>0.65</v>
      </c>
      <c r="E39" s="275">
        <f t="shared" si="2"/>
        <v>671.5</v>
      </c>
      <c r="F39" s="275">
        <v>13974.05</v>
      </c>
      <c r="G39" s="275">
        <v>4214.03</v>
      </c>
      <c r="H39" s="275">
        <v>2683.84</v>
      </c>
      <c r="I39" s="275">
        <f t="shared" si="7"/>
        <v>20871.919999999998</v>
      </c>
    </row>
    <row r="40" spans="1:11" s="439" customFormat="1" ht="14.1" customHeight="1">
      <c r="A40" s="1500" t="s">
        <v>1444</v>
      </c>
      <c r="B40" s="349">
        <v>544.52</v>
      </c>
      <c r="C40" s="349">
        <v>444.62</v>
      </c>
      <c r="D40" s="349">
        <v>103.03</v>
      </c>
      <c r="E40" s="349">
        <f t="shared" si="2"/>
        <v>1092.17</v>
      </c>
      <c r="F40" s="349">
        <v>14601.09</v>
      </c>
      <c r="G40" s="349">
        <v>4116.68</v>
      </c>
      <c r="H40" s="349">
        <v>2864.09</v>
      </c>
      <c r="I40" s="349">
        <f t="shared" si="7"/>
        <v>21581.86</v>
      </c>
    </row>
    <row r="41" spans="1:11" s="439" customFormat="1" ht="14.1" customHeight="1">
      <c r="A41" s="1411" t="s">
        <v>1310</v>
      </c>
      <c r="B41" s="275">
        <v>288.33</v>
      </c>
      <c r="C41" s="275">
        <v>613.53</v>
      </c>
      <c r="D41" s="275">
        <v>-13.38</v>
      </c>
      <c r="E41" s="275">
        <f t="shared" si="2"/>
        <v>888.4799999999999</v>
      </c>
      <c r="F41" s="275">
        <v>14866.31</v>
      </c>
      <c r="G41" s="275">
        <v>4259.28</v>
      </c>
      <c r="H41" s="275">
        <v>2961.53</v>
      </c>
      <c r="I41" s="275">
        <f t="shared" si="7"/>
        <v>22087.119999999999</v>
      </c>
    </row>
    <row r="42" spans="1:11" s="439" customFormat="1" ht="14.1" customHeight="1" thickBot="1">
      <c r="A42" s="1636" t="s">
        <v>1311</v>
      </c>
      <c r="B42" s="369">
        <v>226.99</v>
      </c>
      <c r="C42" s="369">
        <v>602.89</v>
      </c>
      <c r="D42" s="369">
        <v>-42.4</v>
      </c>
      <c r="E42" s="369">
        <f t="shared" si="2"/>
        <v>787.48</v>
      </c>
      <c r="F42" s="369">
        <v>13937.85</v>
      </c>
      <c r="G42" s="369">
        <v>3695.49</v>
      </c>
      <c r="H42" s="369">
        <v>2870.2</v>
      </c>
      <c r="I42" s="369">
        <f t="shared" si="7"/>
        <v>20503.54</v>
      </c>
    </row>
    <row r="43" spans="1:11" s="244" customFormat="1" ht="11.25">
      <c r="A43" s="261" t="s">
        <v>640</v>
      </c>
      <c r="B43" s="2077" t="s">
        <v>2231</v>
      </c>
      <c r="C43" s="2077"/>
      <c r="D43" s="2077"/>
      <c r="E43" s="2077"/>
      <c r="F43" s="2077"/>
      <c r="G43" s="2077"/>
      <c r="H43" s="2077"/>
      <c r="I43" s="2077"/>
    </row>
    <row r="44" spans="1:11" s="161" customFormat="1" ht="11.25">
      <c r="A44" s="17"/>
      <c r="B44" s="2068" t="s">
        <v>1761</v>
      </c>
      <c r="C44" s="2068"/>
      <c r="D44" s="2068"/>
      <c r="E44" s="2068"/>
      <c r="F44" s="2068"/>
      <c r="G44" s="2068"/>
      <c r="H44" s="2068"/>
      <c r="I44" s="2068"/>
    </row>
    <row r="45" spans="1:11">
      <c r="A45" s="620" t="s">
        <v>907</v>
      </c>
      <c r="B45" s="2069" t="s">
        <v>1368</v>
      </c>
      <c r="C45" s="2069"/>
      <c r="D45" s="2069"/>
      <c r="E45" s="2069"/>
      <c r="F45" s="33"/>
      <c r="G45" s="33"/>
      <c r="H45" s="260"/>
      <c r="I45" s="260"/>
    </row>
    <row r="47" spans="1:11">
      <c r="E47" s="662"/>
    </row>
    <row r="48" spans="1:11">
      <c r="E48" s="662"/>
    </row>
    <row r="52" ht="11.1" customHeight="1"/>
    <row r="53" ht="11.1" customHeight="1"/>
    <row r="54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4:I44"/>
    <mergeCell ref="B45:E45"/>
    <mergeCell ref="A1:G2"/>
    <mergeCell ref="H3:I3"/>
    <mergeCell ref="A4:A5"/>
    <mergeCell ref="B4:E4"/>
    <mergeCell ref="F4:I4"/>
    <mergeCell ref="B43:I43"/>
  </mergeCells>
  <phoneticPr fontId="53" type="noConversion"/>
  <pageMargins left="0.59055118110236204" right="0.511811023622047" top="0.39370078740157499" bottom="0.511811023622047" header="0" footer="0.39370078740157499"/>
  <pageSetup paperSize="145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8"/>
  <sheetViews>
    <sheetView zoomScale="140" zoomScaleNormal="14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C56" sqref="C56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78" t="s">
        <v>678</v>
      </c>
      <c r="B1" s="2078"/>
      <c r="C1" s="2078"/>
      <c r="D1" s="2078"/>
      <c r="E1" s="61"/>
      <c r="F1" s="61"/>
      <c r="J1" s="2083" t="s">
        <v>121</v>
      </c>
      <c r="K1" s="2083"/>
      <c r="L1" s="2083"/>
      <c r="M1" s="2082" t="s">
        <v>120</v>
      </c>
      <c r="N1" s="2082"/>
      <c r="S1" s="2083" t="s">
        <v>142</v>
      </c>
      <c r="T1" s="2083"/>
      <c r="U1" s="2083"/>
      <c r="AE1" s="2083" t="s">
        <v>121</v>
      </c>
      <c r="AF1" s="2083"/>
      <c r="AG1" s="2082" t="s">
        <v>120</v>
      </c>
      <c r="AH1" s="2082"/>
      <c r="AI1" s="2082"/>
      <c r="AN1" s="2083" t="s">
        <v>234</v>
      </c>
      <c r="AO1" s="2083"/>
      <c r="AP1" s="2083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79" t="s">
        <v>24</v>
      </c>
      <c r="U2" s="2079"/>
      <c r="AO2" s="2079" t="s">
        <v>24</v>
      </c>
      <c r="AP2" s="2079"/>
    </row>
    <row r="3" spans="1:42" s="117" customFormat="1" ht="13.5" customHeight="1">
      <c r="A3" s="2093" t="s">
        <v>21</v>
      </c>
      <c r="B3" s="2091" t="s">
        <v>175</v>
      </c>
      <c r="C3" s="2092"/>
      <c r="D3" s="2092"/>
      <c r="E3" s="2092"/>
      <c r="F3" s="2092"/>
      <c r="G3" s="2092"/>
      <c r="H3" s="2092"/>
      <c r="I3" s="2092"/>
      <c r="J3" s="2092"/>
      <c r="K3" s="2092"/>
      <c r="L3" s="2100"/>
      <c r="M3" s="2091" t="s">
        <v>176</v>
      </c>
      <c r="N3" s="2092"/>
      <c r="O3" s="2092"/>
      <c r="P3" s="2092"/>
      <c r="Q3" s="2092"/>
      <c r="R3" s="2092"/>
      <c r="S3" s="2092"/>
      <c r="T3" s="2100"/>
      <c r="U3" s="2093" t="s">
        <v>21</v>
      </c>
      <c r="V3" s="2088" t="s">
        <v>21</v>
      </c>
      <c r="W3" s="2091" t="s">
        <v>177</v>
      </c>
      <c r="X3" s="2092"/>
      <c r="Y3" s="2092"/>
      <c r="Z3" s="2092"/>
      <c r="AA3" s="2092"/>
      <c r="AB3" s="2092"/>
      <c r="AC3" s="2092"/>
      <c r="AD3" s="2092"/>
      <c r="AE3" s="2092"/>
      <c r="AF3" s="2092"/>
      <c r="AG3" s="2092"/>
      <c r="AH3" s="2092" t="s">
        <v>178</v>
      </c>
      <c r="AI3" s="2092"/>
      <c r="AJ3" s="2092"/>
      <c r="AK3" s="2092"/>
      <c r="AL3" s="2092"/>
      <c r="AM3" s="2092"/>
      <c r="AN3" s="2097" t="s">
        <v>1008</v>
      </c>
      <c r="AO3" s="2085" t="s">
        <v>1010</v>
      </c>
      <c r="AP3" s="2093" t="s">
        <v>527</v>
      </c>
    </row>
    <row r="4" spans="1:42" s="84" customFormat="1" ht="11.25" customHeight="1">
      <c r="A4" s="2089"/>
      <c r="B4" s="2103" t="s">
        <v>1028</v>
      </c>
      <c r="C4" s="2081" t="s">
        <v>111</v>
      </c>
      <c r="D4" s="2080" t="s">
        <v>112</v>
      </c>
      <c r="E4" s="2080" t="s">
        <v>832</v>
      </c>
      <c r="F4" s="2080" t="s">
        <v>113</v>
      </c>
      <c r="G4" s="2101" t="s">
        <v>833</v>
      </c>
      <c r="H4" s="2081" t="s">
        <v>1400</v>
      </c>
      <c r="I4" s="2080" t="s">
        <v>834</v>
      </c>
      <c r="J4" s="2080" t="s">
        <v>835</v>
      </c>
      <c r="K4" s="2080" t="s">
        <v>694</v>
      </c>
      <c r="L4" s="2104" t="s">
        <v>232</v>
      </c>
      <c r="M4" s="2084" t="s">
        <v>537</v>
      </c>
      <c r="N4" s="2084"/>
      <c r="O4" s="2084"/>
      <c r="P4" s="2084" t="s">
        <v>228</v>
      </c>
      <c r="Q4" s="2084"/>
      <c r="R4" s="2084"/>
      <c r="S4" s="2084"/>
      <c r="T4" s="2084"/>
      <c r="U4" s="2089"/>
      <c r="V4" s="2089"/>
      <c r="W4" s="2095" t="s">
        <v>233</v>
      </c>
      <c r="X4" s="2096"/>
      <c r="Y4" s="2096"/>
      <c r="Z4" s="2096"/>
      <c r="AA4" s="2096"/>
      <c r="AB4" s="2096"/>
      <c r="AC4" s="2096"/>
      <c r="AD4" s="2096"/>
      <c r="AE4" s="2096"/>
      <c r="AF4" s="2096"/>
      <c r="AG4" s="2096"/>
      <c r="AH4" s="2096"/>
      <c r="AI4" s="2096"/>
      <c r="AJ4" s="2096"/>
      <c r="AK4" s="2096"/>
      <c r="AL4" s="2096"/>
      <c r="AM4" s="2096"/>
      <c r="AN4" s="2098"/>
      <c r="AO4" s="2086"/>
      <c r="AP4" s="2089"/>
    </row>
    <row r="5" spans="1:42" s="66" customFormat="1" ht="44.25" customHeight="1">
      <c r="A5" s="2089"/>
      <c r="B5" s="2103"/>
      <c r="C5" s="2081"/>
      <c r="D5" s="2080"/>
      <c r="E5" s="2080"/>
      <c r="F5" s="2080"/>
      <c r="G5" s="2102"/>
      <c r="H5" s="2081"/>
      <c r="I5" s="2080"/>
      <c r="J5" s="2080"/>
      <c r="K5" s="2080"/>
      <c r="L5" s="2104"/>
      <c r="M5" s="1675" t="s">
        <v>538</v>
      </c>
      <c r="N5" s="1669" t="s">
        <v>539</v>
      </c>
      <c r="O5" s="1669" t="s">
        <v>690</v>
      </c>
      <c r="P5" s="1669" t="s">
        <v>1327</v>
      </c>
      <c r="Q5" s="1669" t="s">
        <v>540</v>
      </c>
      <c r="R5" s="1669" t="s">
        <v>836</v>
      </c>
      <c r="S5" s="1669" t="s">
        <v>837</v>
      </c>
      <c r="T5" s="1675" t="s">
        <v>876</v>
      </c>
      <c r="U5" s="2089"/>
      <c r="V5" s="2089"/>
      <c r="W5" s="1210" t="s">
        <v>634</v>
      </c>
      <c r="X5" s="1673" t="s">
        <v>116</v>
      </c>
      <c r="Y5" s="1673" t="s">
        <v>1007</v>
      </c>
      <c r="Z5" s="1673" t="s">
        <v>874</v>
      </c>
      <c r="AA5" s="1673" t="s">
        <v>838</v>
      </c>
      <c r="AB5" s="1673" t="s">
        <v>230</v>
      </c>
      <c r="AC5" s="1673" t="s">
        <v>835</v>
      </c>
      <c r="AD5" s="1673" t="s">
        <v>117</v>
      </c>
      <c r="AE5" s="1670" t="s">
        <v>1401</v>
      </c>
      <c r="AF5" s="1673" t="s">
        <v>118</v>
      </c>
      <c r="AG5" s="1673" t="s">
        <v>541</v>
      </c>
      <c r="AH5" s="1671" t="s">
        <v>1402</v>
      </c>
      <c r="AI5" s="1669" t="s">
        <v>839</v>
      </c>
      <c r="AJ5" s="1669" t="s">
        <v>840</v>
      </c>
      <c r="AK5" s="1669" t="s">
        <v>231</v>
      </c>
      <c r="AL5" s="1669" t="s">
        <v>875</v>
      </c>
      <c r="AM5" s="1669" t="s">
        <v>1009</v>
      </c>
      <c r="AN5" s="2099"/>
      <c r="AO5" s="2087"/>
      <c r="AP5" s="2089"/>
    </row>
    <row r="6" spans="1:42" s="70" customFormat="1" ht="12" customHeight="1">
      <c r="A6" s="2090"/>
      <c r="B6" s="1423">
        <v>1</v>
      </c>
      <c r="C6" s="1674">
        <v>2</v>
      </c>
      <c r="D6" s="1674">
        <v>3</v>
      </c>
      <c r="E6" s="1674">
        <v>4</v>
      </c>
      <c r="F6" s="1674">
        <v>5</v>
      </c>
      <c r="G6" s="1674">
        <v>6</v>
      </c>
      <c r="H6" s="1674">
        <v>7</v>
      </c>
      <c r="I6" s="1674">
        <v>8</v>
      </c>
      <c r="J6" s="1674">
        <v>9</v>
      </c>
      <c r="K6" s="1674">
        <v>10</v>
      </c>
      <c r="L6" s="1674">
        <v>11</v>
      </c>
      <c r="M6" s="947">
        <v>12</v>
      </c>
      <c r="N6" s="1674">
        <v>13</v>
      </c>
      <c r="O6" s="1674" t="s">
        <v>691</v>
      </c>
      <c r="P6" s="1674">
        <v>15</v>
      </c>
      <c r="Q6" s="1674">
        <v>16</v>
      </c>
      <c r="R6" s="1674">
        <v>17</v>
      </c>
      <c r="S6" s="1674">
        <v>18</v>
      </c>
      <c r="T6" s="947">
        <v>19</v>
      </c>
      <c r="U6" s="2090"/>
      <c r="V6" s="2090"/>
      <c r="W6" s="1423">
        <v>20</v>
      </c>
      <c r="X6" s="1674">
        <v>21</v>
      </c>
      <c r="Y6" s="1674">
        <v>22</v>
      </c>
      <c r="Z6" s="1674">
        <v>23</v>
      </c>
      <c r="AA6" s="1674">
        <v>24</v>
      </c>
      <c r="AB6" s="1674">
        <v>25</v>
      </c>
      <c r="AC6" s="1674">
        <v>26</v>
      </c>
      <c r="AD6" s="1674">
        <v>27</v>
      </c>
      <c r="AE6" s="1674">
        <v>28</v>
      </c>
      <c r="AF6" s="1674">
        <v>29</v>
      </c>
      <c r="AG6" s="1674">
        <v>30</v>
      </c>
      <c r="AH6" s="1674">
        <v>31</v>
      </c>
      <c r="AI6" s="1674">
        <v>32</v>
      </c>
      <c r="AJ6" s="1674">
        <v>33</v>
      </c>
      <c r="AK6" s="1674">
        <v>34</v>
      </c>
      <c r="AL6" s="1674">
        <v>35</v>
      </c>
      <c r="AM6" s="1674">
        <v>36</v>
      </c>
      <c r="AN6" s="1674" t="s">
        <v>692</v>
      </c>
      <c r="AO6" s="67" t="s">
        <v>693</v>
      </c>
      <c r="AP6" s="2090"/>
    </row>
    <row r="7" spans="1:42" s="59" customFormat="1" ht="12" customHeight="1">
      <c r="A7" s="699" t="s">
        <v>81</v>
      </c>
      <c r="B7" s="701">
        <v>1328</v>
      </c>
      <c r="C7" s="525">
        <v>3656</v>
      </c>
      <c r="D7" s="525">
        <v>37</v>
      </c>
      <c r="E7" s="525">
        <v>2431</v>
      </c>
      <c r="F7" s="525">
        <v>3208</v>
      </c>
      <c r="G7" s="525">
        <v>67248</v>
      </c>
      <c r="H7" s="701">
        <v>993</v>
      </c>
      <c r="I7" s="701">
        <v>0</v>
      </c>
      <c r="J7" s="701">
        <v>236</v>
      </c>
      <c r="K7" s="701">
        <v>23011</v>
      </c>
      <c r="L7" s="701">
        <v>102148</v>
      </c>
      <c r="M7" s="701">
        <v>522</v>
      </c>
      <c r="N7" s="701">
        <v>5267</v>
      </c>
      <c r="O7" s="701">
        <v>5789</v>
      </c>
      <c r="P7" s="701">
        <v>736</v>
      </c>
      <c r="Q7" s="701">
        <v>755</v>
      </c>
      <c r="R7" s="701">
        <v>900</v>
      </c>
      <c r="S7" s="701">
        <v>7260</v>
      </c>
      <c r="T7" s="701">
        <v>2422</v>
      </c>
      <c r="U7" s="700" t="s">
        <v>81</v>
      </c>
      <c r="V7" s="699" t="s">
        <v>81</v>
      </c>
      <c r="W7" s="238">
        <v>4497</v>
      </c>
      <c r="X7" s="238">
        <v>2305</v>
      </c>
      <c r="Y7" s="238">
        <v>3700</v>
      </c>
      <c r="Z7" s="238">
        <v>13984</v>
      </c>
      <c r="AA7" s="238">
        <v>6722</v>
      </c>
      <c r="AB7" s="238">
        <v>713</v>
      </c>
      <c r="AC7" s="238">
        <v>4960</v>
      </c>
      <c r="AD7" s="238">
        <v>1899</v>
      </c>
      <c r="AE7" s="238">
        <v>6683</v>
      </c>
      <c r="AF7" s="238">
        <v>9959</v>
      </c>
      <c r="AG7" s="238">
        <v>4971</v>
      </c>
      <c r="AH7" s="238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01">
        <v>164241</v>
      </c>
      <c r="AO7" s="701">
        <v>-62093</v>
      </c>
      <c r="AP7" s="75" t="s">
        <v>81</v>
      </c>
    </row>
    <row r="8" spans="1:42" s="59" customFormat="1" ht="12" customHeight="1">
      <c r="A8" s="346" t="s">
        <v>199</v>
      </c>
      <c r="B8" s="442">
        <v>1888</v>
      </c>
      <c r="C8" s="324">
        <v>4750</v>
      </c>
      <c r="D8" s="324">
        <v>19</v>
      </c>
      <c r="E8" s="324">
        <v>3365</v>
      </c>
      <c r="F8" s="324">
        <v>4149</v>
      </c>
      <c r="G8" s="324">
        <v>96711</v>
      </c>
      <c r="H8" s="442">
        <v>851</v>
      </c>
      <c r="I8" s="442">
        <v>0</v>
      </c>
      <c r="J8" s="442">
        <v>182</v>
      </c>
      <c r="K8" s="442">
        <v>32516.062909</v>
      </c>
      <c r="L8" s="442">
        <v>144431.062909</v>
      </c>
      <c r="M8" s="442">
        <v>5943</v>
      </c>
      <c r="N8" s="442">
        <v>7721</v>
      </c>
      <c r="O8" s="442">
        <v>13664</v>
      </c>
      <c r="P8" s="442">
        <v>1153</v>
      </c>
      <c r="Q8" s="442">
        <v>898</v>
      </c>
      <c r="R8" s="442">
        <v>736</v>
      </c>
      <c r="S8" s="442">
        <v>7600</v>
      </c>
      <c r="T8" s="442">
        <v>2073</v>
      </c>
      <c r="U8" s="347" t="s">
        <v>199</v>
      </c>
      <c r="V8" s="346" t="s">
        <v>199</v>
      </c>
      <c r="W8" s="322">
        <v>4667</v>
      </c>
      <c r="X8" s="322">
        <v>3182</v>
      </c>
      <c r="Y8" s="322">
        <v>6350</v>
      </c>
      <c r="Z8" s="322">
        <v>23060</v>
      </c>
      <c r="AA8" s="322">
        <v>8938</v>
      </c>
      <c r="AB8" s="322">
        <v>824</v>
      </c>
      <c r="AC8" s="322">
        <v>8817</v>
      </c>
      <c r="AD8" s="322">
        <v>2371</v>
      </c>
      <c r="AE8" s="322">
        <v>9278</v>
      </c>
      <c r="AF8" s="322">
        <v>19115</v>
      </c>
      <c r="AG8" s="322">
        <v>9927</v>
      </c>
      <c r="AH8" s="322">
        <v>19102</v>
      </c>
      <c r="AI8" s="785">
        <v>1283</v>
      </c>
      <c r="AJ8" s="785">
        <v>14290</v>
      </c>
      <c r="AK8" s="785">
        <v>16589</v>
      </c>
      <c r="AL8" s="785">
        <v>66111</v>
      </c>
      <c r="AM8" s="785">
        <v>226364</v>
      </c>
      <c r="AN8" s="442">
        <v>240028</v>
      </c>
      <c r="AO8" s="442">
        <v>-95596.937090999985</v>
      </c>
      <c r="AP8" s="339" t="s">
        <v>199</v>
      </c>
    </row>
    <row r="9" spans="1:42" s="70" customFormat="1" ht="12" customHeight="1">
      <c r="A9" s="1672" t="s">
        <v>792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01">
        <v>40540.264029999998</v>
      </c>
      <c r="L9" s="701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68" t="s">
        <v>792</v>
      </c>
      <c r="V9" s="267" t="s">
        <v>792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01">
        <v>-100649.73597000001</v>
      </c>
      <c r="AP9" s="668" t="s">
        <v>792</v>
      </c>
    </row>
    <row r="10" spans="1:42" s="290" customFormat="1" ht="12" customHeight="1">
      <c r="A10" s="346" t="s">
        <v>908</v>
      </c>
      <c r="B10" s="442">
        <v>1699</v>
      </c>
      <c r="C10" s="324">
        <v>5989</v>
      </c>
      <c r="D10" s="324">
        <v>17</v>
      </c>
      <c r="E10" s="324">
        <v>4778</v>
      </c>
      <c r="F10" s="324">
        <v>3399</v>
      </c>
      <c r="G10" s="324">
        <v>128285</v>
      </c>
      <c r="H10" s="442">
        <v>431</v>
      </c>
      <c r="I10" s="442">
        <v>0</v>
      </c>
      <c r="J10" s="442">
        <v>0</v>
      </c>
      <c r="K10" s="442">
        <v>44838.842640000003</v>
      </c>
      <c r="L10" s="442">
        <v>189436.84263999999</v>
      </c>
      <c r="M10" s="442">
        <v>239</v>
      </c>
      <c r="N10" s="442">
        <v>5575</v>
      </c>
      <c r="O10" s="442">
        <v>5814</v>
      </c>
      <c r="P10" s="442">
        <v>1708</v>
      </c>
      <c r="Q10" s="442">
        <v>947</v>
      </c>
      <c r="R10" s="442">
        <v>1932</v>
      </c>
      <c r="S10" s="442">
        <v>11185</v>
      </c>
      <c r="T10" s="442">
        <v>3373</v>
      </c>
      <c r="U10" s="347" t="s">
        <v>908</v>
      </c>
      <c r="V10" s="346" t="s">
        <v>908</v>
      </c>
      <c r="W10" s="322">
        <v>5853</v>
      </c>
      <c r="X10" s="322">
        <v>3888</v>
      </c>
      <c r="Y10" s="322">
        <v>8801</v>
      </c>
      <c r="Z10" s="322">
        <v>29122</v>
      </c>
      <c r="AA10" s="322">
        <v>10405</v>
      </c>
      <c r="AB10" s="322">
        <v>952</v>
      </c>
      <c r="AC10" s="322">
        <v>9563</v>
      </c>
      <c r="AD10" s="322">
        <v>3190</v>
      </c>
      <c r="AE10" s="322">
        <v>10905</v>
      </c>
      <c r="AF10" s="322">
        <v>16004</v>
      </c>
      <c r="AG10" s="322">
        <v>10849</v>
      </c>
      <c r="AH10" s="322">
        <v>26133</v>
      </c>
      <c r="AI10" s="785">
        <v>3627</v>
      </c>
      <c r="AJ10" s="785">
        <v>18642</v>
      </c>
      <c r="AK10" s="785">
        <v>14672</v>
      </c>
      <c r="AL10" s="785">
        <v>74763</v>
      </c>
      <c r="AM10" s="785">
        <v>266514</v>
      </c>
      <c r="AN10" s="442">
        <v>272328</v>
      </c>
      <c r="AO10" s="442">
        <v>-82891.157360000012</v>
      </c>
      <c r="AP10" s="339" t="s">
        <v>908</v>
      </c>
    </row>
    <row r="11" spans="1:42" s="278" customFormat="1" ht="12" customHeight="1">
      <c r="A11" s="534" t="s">
        <v>1108</v>
      </c>
      <c r="B11" s="280">
        <v>948</v>
      </c>
      <c r="C11" s="280">
        <v>5315</v>
      </c>
      <c r="D11" s="280">
        <v>17</v>
      </c>
      <c r="E11" s="280">
        <v>3759</v>
      </c>
      <c r="F11" s="280">
        <v>4098</v>
      </c>
      <c r="G11" s="280">
        <v>146626</v>
      </c>
      <c r="H11" s="280">
        <v>134</v>
      </c>
      <c r="I11" s="280">
        <v>0</v>
      </c>
      <c r="J11" s="280">
        <v>0</v>
      </c>
      <c r="K11" s="422">
        <v>52476.544890000005</v>
      </c>
      <c r="L11" s="422">
        <v>213373.54489000002</v>
      </c>
      <c r="M11" s="280">
        <v>2701</v>
      </c>
      <c r="N11" s="280">
        <v>8685</v>
      </c>
      <c r="O11" s="280">
        <v>11386</v>
      </c>
      <c r="P11" s="280">
        <v>2249</v>
      </c>
      <c r="Q11" s="280">
        <v>1423</v>
      </c>
      <c r="R11" s="280">
        <v>3952</v>
      </c>
      <c r="S11" s="280">
        <v>13686</v>
      </c>
      <c r="T11" s="280">
        <v>3536</v>
      </c>
      <c r="U11" s="535" t="s">
        <v>1108</v>
      </c>
      <c r="V11" s="534" t="s">
        <v>1108</v>
      </c>
      <c r="W11" s="280">
        <v>7014</v>
      </c>
      <c r="X11" s="280">
        <v>4812</v>
      </c>
      <c r="Y11" s="280">
        <v>7218</v>
      </c>
      <c r="Z11" s="280">
        <v>31628</v>
      </c>
      <c r="AA11" s="280">
        <v>11644</v>
      </c>
      <c r="AB11" s="280">
        <v>931</v>
      </c>
      <c r="AC11" s="280">
        <v>7977</v>
      </c>
      <c r="AD11" s="280">
        <v>4185</v>
      </c>
      <c r="AE11" s="280">
        <v>13937</v>
      </c>
      <c r="AF11" s="280">
        <v>18850</v>
      </c>
      <c r="AG11" s="280">
        <v>11705</v>
      </c>
      <c r="AH11" s="280">
        <v>27853</v>
      </c>
      <c r="AI11" s="280">
        <v>3833</v>
      </c>
      <c r="AJ11" s="280">
        <v>20654</v>
      </c>
      <c r="AK11" s="280">
        <v>18122</v>
      </c>
      <c r="AL11" s="280">
        <v>89977</v>
      </c>
      <c r="AM11" s="280">
        <v>305186</v>
      </c>
      <c r="AN11" s="280">
        <v>316572</v>
      </c>
      <c r="AO11" s="422">
        <v>-103198.45510999998</v>
      </c>
      <c r="AP11" s="535" t="s">
        <v>1108</v>
      </c>
    </row>
    <row r="12" spans="1:42" s="263" customFormat="1" ht="12" customHeight="1">
      <c r="A12" s="346" t="s">
        <v>1167</v>
      </c>
      <c r="B12" s="442">
        <v>856</v>
      </c>
      <c r="C12" s="442">
        <v>5351</v>
      </c>
      <c r="D12" s="442">
        <v>33</v>
      </c>
      <c r="E12" s="442">
        <v>3081</v>
      </c>
      <c r="F12" s="442">
        <v>3988</v>
      </c>
      <c r="G12" s="442">
        <v>156045</v>
      </c>
      <c r="H12" s="442">
        <v>291</v>
      </c>
      <c r="I12" s="442">
        <v>0</v>
      </c>
      <c r="J12" s="442">
        <v>0</v>
      </c>
      <c r="K12" s="442">
        <v>56840.869556799982</v>
      </c>
      <c r="L12" s="442">
        <v>226485.8695568</v>
      </c>
      <c r="M12" s="442">
        <v>4309.6000000000004</v>
      </c>
      <c r="N12" s="442">
        <v>7914.6</v>
      </c>
      <c r="O12" s="442">
        <v>12224.2</v>
      </c>
      <c r="P12" s="442">
        <v>2409</v>
      </c>
      <c r="Q12" s="442">
        <v>1668</v>
      </c>
      <c r="R12" s="442">
        <v>2745</v>
      </c>
      <c r="S12" s="442">
        <v>12223</v>
      </c>
      <c r="T12" s="442">
        <v>3057</v>
      </c>
      <c r="U12" s="347" t="s">
        <v>1167</v>
      </c>
      <c r="V12" s="346" t="s">
        <v>1167</v>
      </c>
      <c r="W12" s="814">
        <v>5770</v>
      </c>
      <c r="X12" s="814">
        <v>4632</v>
      </c>
      <c r="Y12" s="814">
        <v>6629</v>
      </c>
      <c r="Z12" s="814">
        <v>26175</v>
      </c>
      <c r="AA12" s="814">
        <v>12192</v>
      </c>
      <c r="AB12" s="814">
        <v>875</v>
      </c>
      <c r="AC12" s="814">
        <v>9647</v>
      </c>
      <c r="AD12" s="814">
        <v>4312</v>
      </c>
      <c r="AE12" s="814">
        <v>14333</v>
      </c>
      <c r="AF12" s="814">
        <v>17672</v>
      </c>
      <c r="AG12" s="814">
        <v>12377</v>
      </c>
      <c r="AH12" s="814">
        <v>28569</v>
      </c>
      <c r="AI12" s="814">
        <v>4078</v>
      </c>
      <c r="AJ12" s="814">
        <v>22909</v>
      </c>
      <c r="AK12" s="814">
        <v>20294</v>
      </c>
      <c r="AL12" s="814">
        <v>90395</v>
      </c>
      <c r="AM12" s="814">
        <v>302961</v>
      </c>
      <c r="AN12" s="983">
        <v>315185.2</v>
      </c>
      <c r="AO12" s="983">
        <v>-88699.330443200015</v>
      </c>
      <c r="AP12" s="347" t="s">
        <v>1167</v>
      </c>
    </row>
    <row r="13" spans="1:42" s="278" customFormat="1" ht="12" customHeight="1">
      <c r="A13" s="534" t="s">
        <v>1299</v>
      </c>
      <c r="B13" s="421">
        <v>1257</v>
      </c>
      <c r="C13" s="421">
        <v>5700</v>
      </c>
      <c r="D13" s="421">
        <v>15</v>
      </c>
      <c r="E13" s="421">
        <v>2133</v>
      </c>
      <c r="F13" s="421">
        <v>3003</v>
      </c>
      <c r="G13" s="421">
        <v>163120</v>
      </c>
      <c r="H13" s="421">
        <v>101</v>
      </c>
      <c r="I13" s="421">
        <v>0</v>
      </c>
      <c r="J13" s="421">
        <v>0</v>
      </c>
      <c r="K13" s="421">
        <v>61472.895545300002</v>
      </c>
      <c r="L13" s="421">
        <v>236801.89554530004</v>
      </c>
      <c r="M13" s="421">
        <v>931.40000000000009</v>
      </c>
      <c r="N13" s="421">
        <v>7159.0999999999995</v>
      </c>
      <c r="O13" s="421">
        <v>8090.4999999999991</v>
      </c>
      <c r="P13" s="421">
        <v>1766.1999999999998</v>
      </c>
      <c r="Q13" s="421">
        <v>1597.8</v>
      </c>
      <c r="R13" s="421">
        <v>4083.2</v>
      </c>
      <c r="S13" s="421">
        <v>10409.300000000001</v>
      </c>
      <c r="T13" s="421">
        <v>3625.2000000000003</v>
      </c>
      <c r="U13" s="871" t="s">
        <v>1299</v>
      </c>
      <c r="V13" s="420" t="s">
        <v>1299</v>
      </c>
      <c r="W13" s="421">
        <v>5171.3999999999996</v>
      </c>
      <c r="X13" s="421">
        <v>3467.4</v>
      </c>
      <c r="Y13" s="421">
        <v>2985.2</v>
      </c>
      <c r="Z13" s="421">
        <v>17826.600000000002</v>
      </c>
      <c r="AA13" s="421">
        <v>13214.499999999998</v>
      </c>
      <c r="AB13" s="421">
        <v>937.49999999999989</v>
      </c>
      <c r="AC13" s="421">
        <v>8170.1</v>
      </c>
      <c r="AD13" s="421">
        <v>4271.7</v>
      </c>
      <c r="AE13" s="421">
        <v>14233.1</v>
      </c>
      <c r="AF13" s="421">
        <v>16844</v>
      </c>
      <c r="AG13" s="421">
        <v>12884.699999999999</v>
      </c>
      <c r="AH13" s="421">
        <v>32259.099999999995</v>
      </c>
      <c r="AI13" s="421">
        <v>4713.0999999999995</v>
      </c>
      <c r="AJ13" s="421">
        <v>21924.899999999998</v>
      </c>
      <c r="AK13" s="421">
        <v>23920.3</v>
      </c>
      <c r="AL13" s="421">
        <v>101483.00000000001</v>
      </c>
      <c r="AM13" s="421">
        <v>305788.3</v>
      </c>
      <c r="AN13" s="421">
        <v>313878.80000000005</v>
      </c>
      <c r="AO13" s="421">
        <v>-77076.904454699994</v>
      </c>
      <c r="AP13" s="871" t="s">
        <v>1299</v>
      </c>
    </row>
    <row r="14" spans="1:42" s="278" customFormat="1" ht="12" customHeight="1">
      <c r="A14" s="346" t="s">
        <v>1332</v>
      </c>
      <c r="B14" s="442">
        <v>1381</v>
      </c>
      <c r="C14" s="442">
        <v>6117</v>
      </c>
      <c r="D14" s="442">
        <v>30</v>
      </c>
      <c r="E14" s="442">
        <v>1463</v>
      </c>
      <c r="F14" s="442">
        <v>3681</v>
      </c>
      <c r="G14" s="442">
        <v>166762</v>
      </c>
      <c r="H14" s="442">
        <v>130</v>
      </c>
      <c r="I14" s="442">
        <v>0</v>
      </c>
      <c r="J14" s="442">
        <v>44</v>
      </c>
      <c r="K14" s="442">
        <v>60048.485022404995</v>
      </c>
      <c r="L14" s="442">
        <v>239656.48502240499</v>
      </c>
      <c r="M14" s="442">
        <v>604.1</v>
      </c>
      <c r="N14" s="442">
        <v>8157.0999999999995</v>
      </c>
      <c r="O14" s="442">
        <v>8761.1999999999989</v>
      </c>
      <c r="P14" s="442">
        <v>1998.8999999999999</v>
      </c>
      <c r="Q14" s="442">
        <v>2051.1</v>
      </c>
      <c r="R14" s="442">
        <v>3273.5</v>
      </c>
      <c r="S14" s="442">
        <v>11837.800000000001</v>
      </c>
      <c r="T14" s="442">
        <v>4669.3999999999996</v>
      </c>
      <c r="U14" s="967" t="s">
        <v>1332</v>
      </c>
      <c r="V14" s="874" t="s">
        <v>1332</v>
      </c>
      <c r="W14" s="442">
        <v>6647.9999999999991</v>
      </c>
      <c r="X14" s="442">
        <v>3764.1999999999994</v>
      </c>
      <c r="Y14" s="442">
        <v>4222.1000000000004</v>
      </c>
      <c r="Z14" s="442">
        <v>21980.199999999997</v>
      </c>
      <c r="AA14" s="442">
        <v>14792.9</v>
      </c>
      <c r="AB14" s="442">
        <v>1159.8999999999999</v>
      </c>
      <c r="AC14" s="442">
        <v>5742.4</v>
      </c>
      <c r="AD14" s="442">
        <v>4436.5000000000009</v>
      </c>
      <c r="AE14" s="442">
        <v>15330.1</v>
      </c>
      <c r="AF14" s="442">
        <v>20702.7</v>
      </c>
      <c r="AG14" s="442">
        <v>13181.199999999999</v>
      </c>
      <c r="AH14" s="442">
        <v>32746.7</v>
      </c>
      <c r="AI14" s="442">
        <v>4836.7999999999993</v>
      </c>
      <c r="AJ14" s="442">
        <v>25854.7</v>
      </c>
      <c r="AK14" s="442">
        <v>28625.800000000007</v>
      </c>
      <c r="AL14" s="442">
        <v>107960.99999999999</v>
      </c>
      <c r="AM14" s="442">
        <v>335815.89999999997</v>
      </c>
      <c r="AN14" s="442">
        <v>344577.1</v>
      </c>
      <c r="AO14" s="442">
        <v>-104920.61497759499</v>
      </c>
      <c r="AP14" s="967" t="s">
        <v>1332</v>
      </c>
    </row>
    <row r="15" spans="1:42" s="278" customFormat="1" ht="12" customHeight="1">
      <c r="A15" s="534" t="s">
        <v>1471</v>
      </c>
      <c r="B15" s="421">
        <v>1161</v>
      </c>
      <c r="C15" s="421">
        <v>6275</v>
      </c>
      <c r="D15" s="421">
        <v>21</v>
      </c>
      <c r="E15" s="421">
        <v>1282</v>
      </c>
      <c r="F15" s="421">
        <v>4089</v>
      </c>
      <c r="G15" s="421">
        <v>185413</v>
      </c>
      <c r="H15" s="421">
        <v>72</v>
      </c>
      <c r="I15" s="421">
        <v>13</v>
      </c>
      <c r="J15" s="421">
        <v>0</v>
      </c>
      <c r="K15" s="421">
        <v>68852.312488977797</v>
      </c>
      <c r="L15" s="421">
        <v>267178.3124889778</v>
      </c>
      <c r="M15" s="421">
        <v>14319</v>
      </c>
      <c r="N15" s="421">
        <v>10064.500000000002</v>
      </c>
      <c r="O15" s="421">
        <v>24383.499999999996</v>
      </c>
      <c r="P15" s="421">
        <v>2371.4</v>
      </c>
      <c r="Q15" s="421">
        <v>2362.4</v>
      </c>
      <c r="R15" s="421">
        <v>4176.3000000000011</v>
      </c>
      <c r="S15" s="421">
        <v>14447.800000000001</v>
      </c>
      <c r="T15" s="421">
        <v>3349</v>
      </c>
      <c r="U15" s="871" t="s">
        <v>1471</v>
      </c>
      <c r="V15" s="420" t="s">
        <v>1471</v>
      </c>
      <c r="W15" s="421">
        <v>7766.4</v>
      </c>
      <c r="X15" s="421">
        <v>4264</v>
      </c>
      <c r="Y15" s="421">
        <v>4577.5</v>
      </c>
      <c r="Z15" s="421">
        <v>34122.799999999996</v>
      </c>
      <c r="AA15" s="421">
        <v>17548</v>
      </c>
      <c r="AB15" s="421">
        <v>1251.8</v>
      </c>
      <c r="AC15" s="421">
        <v>7141.9000000000015</v>
      </c>
      <c r="AD15" s="421">
        <v>5078.1000000000004</v>
      </c>
      <c r="AE15" s="421">
        <v>17772.7</v>
      </c>
      <c r="AF15" s="421">
        <v>24249.800000000003</v>
      </c>
      <c r="AG15" s="421">
        <v>15664.1</v>
      </c>
      <c r="AH15" s="421">
        <v>37509.1</v>
      </c>
      <c r="AI15" s="421">
        <v>5682</v>
      </c>
      <c r="AJ15" s="421">
        <v>31458.999999999996</v>
      </c>
      <c r="AK15" s="421">
        <v>37712.400000000009</v>
      </c>
      <c r="AL15" s="421">
        <v>132150.9</v>
      </c>
      <c r="AM15" s="421">
        <v>410657.39999999991</v>
      </c>
      <c r="AN15" s="421">
        <v>435040.89999999997</v>
      </c>
      <c r="AO15" s="421">
        <v>-167862.58751102214</v>
      </c>
      <c r="AP15" s="871" t="s">
        <v>1471</v>
      </c>
    </row>
    <row r="16" spans="1:42" s="278" customFormat="1" ht="12" customHeight="1">
      <c r="A16" s="1614" t="s">
        <v>1600</v>
      </c>
      <c r="B16" s="442">
        <v>964</v>
      </c>
      <c r="C16" s="442">
        <v>5468</v>
      </c>
      <c r="D16" s="442">
        <v>21</v>
      </c>
      <c r="E16" s="319">
        <v>1193</v>
      </c>
      <c r="F16" s="442">
        <v>3556</v>
      </c>
      <c r="G16" s="442">
        <v>212357</v>
      </c>
      <c r="H16" s="442">
        <v>181</v>
      </c>
      <c r="I16" s="442">
        <v>23</v>
      </c>
      <c r="J16" s="442">
        <v>0</v>
      </c>
      <c r="K16" s="442">
        <v>73222.626869678003</v>
      </c>
      <c r="L16" s="442">
        <v>296985.62686967797</v>
      </c>
      <c r="M16" s="442">
        <v>1043.8999999999999</v>
      </c>
      <c r="N16" s="442">
        <v>9641.6</v>
      </c>
      <c r="O16" s="442">
        <v>10685.5</v>
      </c>
      <c r="P16" s="442">
        <v>2820.7</v>
      </c>
      <c r="Q16" s="442">
        <v>2645.2</v>
      </c>
      <c r="R16" s="442">
        <v>5491.5999999999995</v>
      </c>
      <c r="S16" s="442">
        <v>14431.499999999998</v>
      </c>
      <c r="T16" s="442">
        <v>3456.9</v>
      </c>
      <c r="U16" s="1615" t="s">
        <v>1600</v>
      </c>
      <c r="V16" s="1614" t="s">
        <v>1600</v>
      </c>
      <c r="W16" s="442">
        <v>5431.6</v>
      </c>
      <c r="X16" s="442">
        <v>6020.7</v>
      </c>
      <c r="Y16" s="442">
        <v>7816.6</v>
      </c>
      <c r="Z16" s="442">
        <v>48167.299999999996</v>
      </c>
      <c r="AA16" s="442">
        <v>18668.200000000004</v>
      </c>
      <c r="AB16" s="442">
        <v>1231.2</v>
      </c>
      <c r="AC16" s="442">
        <v>9402.2000000000007</v>
      </c>
      <c r="AD16" s="442">
        <v>5824.4999999999991</v>
      </c>
      <c r="AE16" s="442">
        <v>20030.694400000004</v>
      </c>
      <c r="AF16" s="442">
        <v>24638.299999999996</v>
      </c>
      <c r="AG16" s="442">
        <v>17750.5</v>
      </c>
      <c r="AH16" s="442">
        <v>41881.9</v>
      </c>
      <c r="AI16" s="442">
        <v>6817.7</v>
      </c>
      <c r="AJ16" s="442">
        <v>36363.199999999997</v>
      </c>
      <c r="AK16" s="442">
        <v>43242.479999999996</v>
      </c>
      <c r="AL16" s="442">
        <v>138259.10559999998</v>
      </c>
      <c r="AM16" s="442">
        <v>460392.08</v>
      </c>
      <c r="AN16" s="442">
        <v>471077.57999999996</v>
      </c>
      <c r="AO16" s="442">
        <v>-174091.95313032204</v>
      </c>
      <c r="AP16" s="1615" t="s">
        <v>1600</v>
      </c>
    </row>
    <row r="17" spans="1:42" s="289" customFormat="1" ht="12" customHeight="1">
      <c r="A17" s="107" t="s">
        <v>1695</v>
      </c>
      <c r="B17" s="981">
        <v>1040</v>
      </c>
      <c r="C17" s="981">
        <v>6146</v>
      </c>
      <c r="D17" s="981">
        <v>21</v>
      </c>
      <c r="E17" s="981">
        <v>748</v>
      </c>
      <c r="F17" s="981">
        <v>3444</v>
      </c>
      <c r="G17" s="981">
        <v>190874</v>
      </c>
      <c r="H17" s="981">
        <v>0</v>
      </c>
      <c r="I17" s="981">
        <v>0</v>
      </c>
      <c r="J17" s="981">
        <v>0</v>
      </c>
      <c r="K17" s="981">
        <v>63181.986787679991</v>
      </c>
      <c r="L17" s="981">
        <v>265454.98678768001</v>
      </c>
      <c r="M17" s="981">
        <v>128.4539</v>
      </c>
      <c r="N17" s="981">
        <v>12627.9982</v>
      </c>
      <c r="O17" s="981">
        <v>12756.452099999999</v>
      </c>
      <c r="P17" s="981">
        <v>2932.8680000000004</v>
      </c>
      <c r="Q17" s="981">
        <v>2773.0823999999998</v>
      </c>
      <c r="R17" s="981">
        <v>8208.4980999999989</v>
      </c>
      <c r="S17" s="981">
        <v>12284.178100000001</v>
      </c>
      <c r="T17" s="981">
        <v>4998.1288999999997</v>
      </c>
      <c r="U17" s="516" t="s">
        <v>1695</v>
      </c>
      <c r="V17" s="204" t="s">
        <v>1695</v>
      </c>
      <c r="W17" s="981">
        <v>5341.1967999999997</v>
      </c>
      <c r="X17" s="981">
        <v>5596.1562000000004</v>
      </c>
      <c r="Y17" s="981">
        <v>2292</v>
      </c>
      <c r="Z17" s="981">
        <v>42438.809199999996</v>
      </c>
      <c r="AA17" s="981">
        <v>18733.473399999995</v>
      </c>
      <c r="AB17" s="981">
        <v>1271.8957</v>
      </c>
      <c r="AC17" s="981">
        <v>8080.4802</v>
      </c>
      <c r="AD17" s="981">
        <v>5218.0609999999997</v>
      </c>
      <c r="AE17" s="981">
        <v>19705.760500000004</v>
      </c>
      <c r="AF17" s="981">
        <v>22376.166300000001</v>
      </c>
      <c r="AG17" s="981">
        <v>14202.8307</v>
      </c>
      <c r="AH17" s="981">
        <v>36070.014900000009</v>
      </c>
      <c r="AI17" s="981">
        <v>6120.8277000000007</v>
      </c>
      <c r="AJ17" s="981">
        <v>34009.763699999996</v>
      </c>
      <c r="AK17" s="981">
        <v>31545.680499999999</v>
      </c>
      <c r="AL17" s="981">
        <v>114358.95090000001</v>
      </c>
      <c r="AM17" s="981">
        <v>398558.82319999998</v>
      </c>
      <c r="AN17" s="981">
        <v>411315.27529999992</v>
      </c>
      <c r="AO17" s="981">
        <v>-145860.28851232</v>
      </c>
      <c r="AP17" s="516" t="s">
        <v>1695</v>
      </c>
    </row>
    <row r="18" spans="1:42" s="289" customFormat="1" ht="12" customHeight="1">
      <c r="A18" s="342" t="s">
        <v>1764</v>
      </c>
      <c r="B18" s="982">
        <f>SUM(B19:B30)</f>
        <v>1049</v>
      </c>
      <c r="C18" s="982">
        <f t="shared" ref="C18:T18" si="0">SUM(C19:C30)</f>
        <v>8095</v>
      </c>
      <c r="D18" s="982">
        <f t="shared" si="0"/>
        <v>28</v>
      </c>
      <c r="E18" s="982">
        <f t="shared" si="0"/>
        <v>797</v>
      </c>
      <c r="F18" s="982">
        <f t="shared" si="0"/>
        <v>3486</v>
      </c>
      <c r="G18" s="982">
        <f t="shared" si="0"/>
        <v>212101</v>
      </c>
      <c r="H18" s="982">
        <f t="shared" si="0"/>
        <v>87</v>
      </c>
      <c r="I18" s="982">
        <f t="shared" si="0"/>
        <v>1</v>
      </c>
      <c r="J18" s="982">
        <f t="shared" si="0"/>
        <v>0</v>
      </c>
      <c r="K18" s="982">
        <f t="shared" si="0"/>
        <v>73720.499686700001</v>
      </c>
      <c r="L18" s="982">
        <f t="shared" si="0"/>
        <v>299364.4996867</v>
      </c>
      <c r="M18" s="982">
        <f t="shared" si="0"/>
        <v>3160.2</v>
      </c>
      <c r="N18" s="982">
        <f t="shared" si="0"/>
        <v>13211.6</v>
      </c>
      <c r="O18" s="982">
        <f t="shared" si="0"/>
        <v>16371.800000000001</v>
      </c>
      <c r="P18" s="982">
        <f t="shared" si="0"/>
        <v>2634.7</v>
      </c>
      <c r="Q18" s="982">
        <f t="shared" si="0"/>
        <v>3390.1</v>
      </c>
      <c r="R18" s="982">
        <f t="shared" si="0"/>
        <v>10916.299999999997</v>
      </c>
      <c r="S18" s="982">
        <f t="shared" si="0"/>
        <v>14993.4</v>
      </c>
      <c r="T18" s="982">
        <f t="shared" si="0"/>
        <v>5575.8</v>
      </c>
      <c r="U18" s="335" t="s">
        <v>1764</v>
      </c>
      <c r="V18" s="334" t="s">
        <v>1764</v>
      </c>
      <c r="W18" s="982">
        <f t="shared" ref="W18:AO18" si="1">SUM(W19:W30)</f>
        <v>7131.9000000000005</v>
      </c>
      <c r="X18" s="982">
        <f t="shared" si="1"/>
        <v>6565.5000000000009</v>
      </c>
      <c r="Y18" s="982">
        <f t="shared" si="1"/>
        <v>6991.5999999999995</v>
      </c>
      <c r="Z18" s="982">
        <f t="shared" si="1"/>
        <v>41886.9</v>
      </c>
      <c r="AA18" s="982">
        <f t="shared" si="1"/>
        <v>22966</v>
      </c>
      <c r="AB18" s="982">
        <f t="shared" si="1"/>
        <v>2422.6000000000004</v>
      </c>
      <c r="AC18" s="982">
        <f t="shared" si="1"/>
        <v>8260.1</v>
      </c>
      <c r="AD18" s="982">
        <f t="shared" si="1"/>
        <v>6329.7</v>
      </c>
      <c r="AE18" s="982">
        <f t="shared" si="1"/>
        <v>25545.5</v>
      </c>
      <c r="AF18" s="982">
        <f t="shared" si="1"/>
        <v>26628</v>
      </c>
      <c r="AG18" s="982">
        <f t="shared" si="1"/>
        <v>18079.3</v>
      </c>
      <c r="AH18" s="982">
        <f t="shared" si="1"/>
        <v>35686.199999999997</v>
      </c>
      <c r="AI18" s="982">
        <f t="shared" si="1"/>
        <v>6151.4000000000005</v>
      </c>
      <c r="AJ18" s="982">
        <f t="shared" si="1"/>
        <v>35423.599999999999</v>
      </c>
      <c r="AK18" s="982">
        <f t="shared" si="1"/>
        <v>25415.82</v>
      </c>
      <c r="AL18" s="982">
        <f t="shared" si="1"/>
        <v>131398.70000000001</v>
      </c>
      <c r="AM18" s="982">
        <f t="shared" si="1"/>
        <v>444393.12</v>
      </c>
      <c r="AN18" s="982">
        <f t="shared" si="1"/>
        <v>460764.92</v>
      </c>
      <c r="AO18" s="982">
        <f t="shared" si="1"/>
        <v>-161400.42031329998</v>
      </c>
      <c r="AP18" s="335" t="s">
        <v>1764</v>
      </c>
    </row>
    <row r="19" spans="1:42" s="289" customFormat="1" ht="12" customHeight="1">
      <c r="A19" s="176" t="s">
        <v>606</v>
      </c>
      <c r="B19" s="254">
        <v>54</v>
      </c>
      <c r="C19" s="254">
        <v>557</v>
      </c>
      <c r="D19" s="254">
        <v>4</v>
      </c>
      <c r="E19" s="254">
        <v>49</v>
      </c>
      <c r="F19" s="254">
        <f>85+187</f>
        <v>272</v>
      </c>
      <c r="G19" s="254">
        <v>15580</v>
      </c>
      <c r="H19" s="254">
        <v>0</v>
      </c>
      <c r="I19" s="254">
        <v>0</v>
      </c>
      <c r="J19" s="254">
        <v>0</v>
      </c>
      <c r="K19" s="254">
        <f t="shared" ref="K19:K39" si="2">L19-SUM(B19:J19)</f>
        <v>6583.5839999999989</v>
      </c>
      <c r="L19" s="254">
        <f>18609+52.955*84.8</f>
        <v>23099.583999999999</v>
      </c>
      <c r="M19" s="254">
        <v>23.1</v>
      </c>
      <c r="N19" s="254">
        <v>502.4</v>
      </c>
      <c r="O19" s="254">
        <f t="shared" ref="O19:O48" si="3">M19+N19</f>
        <v>525.5</v>
      </c>
      <c r="P19" s="254">
        <v>117.7</v>
      </c>
      <c r="Q19" s="254">
        <v>514.4</v>
      </c>
      <c r="R19" s="254">
        <v>831.5</v>
      </c>
      <c r="S19" s="254">
        <v>1000.7</v>
      </c>
      <c r="T19" s="254">
        <v>438.59999999999997</v>
      </c>
      <c r="U19" s="228" t="s">
        <v>606</v>
      </c>
      <c r="V19" s="175" t="s">
        <v>606</v>
      </c>
      <c r="W19" s="254">
        <v>210.5</v>
      </c>
      <c r="X19" s="254">
        <v>335.5</v>
      </c>
      <c r="Y19" s="254">
        <v>188.6</v>
      </c>
      <c r="Z19" s="254">
        <v>1971.1</v>
      </c>
      <c r="AA19" s="254">
        <v>2020.9</v>
      </c>
      <c r="AB19" s="254">
        <v>132.1</v>
      </c>
      <c r="AC19" s="254">
        <v>299.20000000000005</v>
      </c>
      <c r="AD19" s="254">
        <v>479.09999999999997</v>
      </c>
      <c r="AE19" s="254">
        <v>1446.3999999999999</v>
      </c>
      <c r="AF19" s="254">
        <v>1606.6999999999998</v>
      </c>
      <c r="AG19" s="254">
        <v>1657.2</v>
      </c>
      <c r="AH19" s="254">
        <v>2857</v>
      </c>
      <c r="AI19" s="254">
        <v>549.4</v>
      </c>
      <c r="AJ19" s="254">
        <v>2029</v>
      </c>
      <c r="AK19" s="254">
        <v>1727.9900000000002</v>
      </c>
      <c r="AL19" s="254">
        <v>7863.0000000000009</v>
      </c>
      <c r="AM19" s="254">
        <f t="shared" ref="AM19:AM48" si="4">SUM(P19:T19)+SUM(W19:AL19)</f>
        <v>28276.590000000004</v>
      </c>
      <c r="AN19" s="254">
        <f t="shared" ref="AN19:AN47" si="5">O19+AM19</f>
        <v>28802.090000000004</v>
      </c>
      <c r="AO19" s="254">
        <f t="shared" ref="AO19:AO48" si="6">L19-AN19</f>
        <v>-5702.5060000000049</v>
      </c>
      <c r="AP19" s="228" t="s">
        <v>606</v>
      </c>
    </row>
    <row r="20" spans="1:42" s="289" customFormat="1" ht="12" customHeight="1">
      <c r="A20" s="341" t="s">
        <v>115</v>
      </c>
      <c r="B20" s="319">
        <v>90</v>
      </c>
      <c r="C20" s="319">
        <v>620</v>
      </c>
      <c r="D20" s="319">
        <v>3</v>
      </c>
      <c r="E20" s="319">
        <v>49</v>
      </c>
      <c r="F20" s="319">
        <f>45+243</f>
        <v>288</v>
      </c>
      <c r="G20" s="319">
        <v>15501</v>
      </c>
      <c r="H20" s="319">
        <v>0</v>
      </c>
      <c r="I20" s="319">
        <v>0</v>
      </c>
      <c r="J20" s="319">
        <v>0</v>
      </c>
      <c r="K20" s="319">
        <f t="shared" si="2"/>
        <v>5205.1531747999979</v>
      </c>
      <c r="L20" s="319">
        <f>18671+36.369*84.8292</f>
        <v>21756.153174799998</v>
      </c>
      <c r="M20" s="319">
        <v>1.1000000000000001</v>
      </c>
      <c r="N20" s="319">
        <v>595</v>
      </c>
      <c r="O20" s="319">
        <f t="shared" si="3"/>
        <v>596.1</v>
      </c>
      <c r="P20" s="319">
        <v>195.5</v>
      </c>
      <c r="Q20" s="319">
        <v>337.4</v>
      </c>
      <c r="R20" s="319">
        <v>802.2</v>
      </c>
      <c r="S20" s="319">
        <v>541.5</v>
      </c>
      <c r="T20" s="319">
        <v>274.2</v>
      </c>
      <c r="U20" s="333" t="s">
        <v>115</v>
      </c>
      <c r="V20" s="332" t="s">
        <v>115</v>
      </c>
      <c r="W20" s="319">
        <v>645.20000000000005</v>
      </c>
      <c r="X20" s="319">
        <v>385</v>
      </c>
      <c r="Y20" s="319">
        <v>270.8</v>
      </c>
      <c r="Z20" s="319">
        <v>4126</v>
      </c>
      <c r="AA20" s="319">
        <v>1868.9</v>
      </c>
      <c r="AB20" s="319">
        <v>93</v>
      </c>
      <c r="AC20" s="319">
        <v>547</v>
      </c>
      <c r="AD20" s="319">
        <v>416.9</v>
      </c>
      <c r="AE20" s="319">
        <v>1556.8</v>
      </c>
      <c r="AF20" s="319">
        <v>1567.8999999999999</v>
      </c>
      <c r="AG20" s="319">
        <v>1345.8</v>
      </c>
      <c r="AH20" s="319">
        <v>2418.4</v>
      </c>
      <c r="AI20" s="319">
        <v>366</v>
      </c>
      <c r="AJ20" s="319">
        <v>2204.6</v>
      </c>
      <c r="AK20" s="319">
        <v>2068.09</v>
      </c>
      <c r="AL20" s="319">
        <v>8038.2</v>
      </c>
      <c r="AM20" s="1042">
        <f t="shared" si="4"/>
        <v>30069.389999999996</v>
      </c>
      <c r="AN20" s="319">
        <f t="shared" si="5"/>
        <v>30665.489999999994</v>
      </c>
      <c r="AO20" s="319">
        <f t="shared" si="6"/>
        <v>-8909.3368251999964</v>
      </c>
      <c r="AP20" s="333" t="s">
        <v>115</v>
      </c>
    </row>
    <row r="21" spans="1:42" s="289" customFormat="1" ht="12" customHeight="1">
      <c r="A21" s="176" t="s">
        <v>601</v>
      </c>
      <c r="B21" s="254">
        <v>146</v>
      </c>
      <c r="C21" s="254">
        <v>693</v>
      </c>
      <c r="D21" s="254">
        <v>2</v>
      </c>
      <c r="E21" s="254">
        <v>37</v>
      </c>
      <c r="F21" s="254">
        <f>83+236</f>
        <v>319</v>
      </c>
      <c r="G21" s="254">
        <v>19258</v>
      </c>
      <c r="H21" s="254">
        <v>0</v>
      </c>
      <c r="I21" s="254">
        <v>0</v>
      </c>
      <c r="J21" s="254">
        <v>0</v>
      </c>
      <c r="K21" s="254">
        <f t="shared" si="2"/>
        <v>5567.5191640000012</v>
      </c>
      <c r="L21" s="254">
        <f>22714+38.999*84.836</f>
        <v>26022.519164000001</v>
      </c>
      <c r="M21" s="254">
        <v>15.1</v>
      </c>
      <c r="N21" s="254">
        <v>1951.3000000000002</v>
      </c>
      <c r="O21" s="254">
        <f t="shared" si="3"/>
        <v>1966.4</v>
      </c>
      <c r="P21" s="254">
        <v>150.4</v>
      </c>
      <c r="Q21" s="254">
        <v>317.89999999999998</v>
      </c>
      <c r="R21" s="254">
        <v>539.20000000000005</v>
      </c>
      <c r="S21" s="254">
        <v>783</v>
      </c>
      <c r="T21" s="254">
        <v>292.20000000000005</v>
      </c>
      <c r="U21" s="228" t="s">
        <v>601</v>
      </c>
      <c r="V21" s="175" t="s">
        <v>601</v>
      </c>
      <c r="W21" s="254">
        <v>685.3</v>
      </c>
      <c r="X21" s="254">
        <v>515.5</v>
      </c>
      <c r="Y21" s="254">
        <v>258.39999999999998</v>
      </c>
      <c r="Z21" s="254">
        <v>2778.3</v>
      </c>
      <c r="AA21" s="254">
        <v>1936</v>
      </c>
      <c r="AB21" s="254">
        <v>147.30000000000001</v>
      </c>
      <c r="AC21" s="254">
        <v>478.9</v>
      </c>
      <c r="AD21" s="254">
        <v>474.6</v>
      </c>
      <c r="AE21" s="254">
        <v>1805.3</v>
      </c>
      <c r="AF21" s="254">
        <v>1961.8999999999999</v>
      </c>
      <c r="AG21" s="254">
        <v>1386.3</v>
      </c>
      <c r="AH21" s="254">
        <v>2874.4</v>
      </c>
      <c r="AI21" s="254">
        <v>403.2</v>
      </c>
      <c r="AJ21" s="254">
        <v>2682.1</v>
      </c>
      <c r="AK21" s="254">
        <v>1578.79</v>
      </c>
      <c r="AL21" s="254">
        <v>9840.5999999999985</v>
      </c>
      <c r="AM21" s="254">
        <f t="shared" si="4"/>
        <v>31889.59</v>
      </c>
      <c r="AN21" s="254">
        <f t="shared" si="5"/>
        <v>33855.99</v>
      </c>
      <c r="AO21" s="254">
        <f t="shared" si="6"/>
        <v>-7833.4708359999968</v>
      </c>
      <c r="AP21" s="228" t="s">
        <v>601</v>
      </c>
    </row>
    <row r="22" spans="1:42" s="289" customFormat="1" ht="12" customHeight="1">
      <c r="A22" s="341" t="s">
        <v>608</v>
      </c>
      <c r="B22" s="319">
        <v>104</v>
      </c>
      <c r="C22" s="319">
        <v>724</v>
      </c>
      <c r="D22" s="319">
        <v>3</v>
      </c>
      <c r="E22" s="319">
        <v>62</v>
      </c>
      <c r="F22" s="319">
        <f>113+277</f>
        <v>390</v>
      </c>
      <c r="G22" s="319">
        <v>17582</v>
      </c>
      <c r="H22" s="319">
        <v>0</v>
      </c>
      <c r="I22" s="319">
        <v>0</v>
      </c>
      <c r="J22" s="319">
        <v>0</v>
      </c>
      <c r="K22" s="319">
        <f t="shared" si="2"/>
        <v>5392.5998093000017</v>
      </c>
      <c r="L22" s="319">
        <f>21197+84.8023*36.091</f>
        <v>24257.599809300002</v>
      </c>
      <c r="M22" s="319">
        <v>15.1</v>
      </c>
      <c r="N22" s="319">
        <v>1238.5999999999999</v>
      </c>
      <c r="O22" s="319">
        <f t="shared" si="3"/>
        <v>1253.6999999999998</v>
      </c>
      <c r="P22" s="319">
        <v>133.69999999999999</v>
      </c>
      <c r="Q22" s="319">
        <v>235.1</v>
      </c>
      <c r="R22" s="319">
        <v>770.8</v>
      </c>
      <c r="S22" s="319">
        <v>938.40000000000009</v>
      </c>
      <c r="T22" s="319">
        <v>147.79999999999998</v>
      </c>
      <c r="U22" s="333" t="s">
        <v>608</v>
      </c>
      <c r="V22" s="332" t="s">
        <v>608</v>
      </c>
      <c r="W22" s="319">
        <v>590.5</v>
      </c>
      <c r="X22" s="319">
        <v>452.6</v>
      </c>
      <c r="Y22" s="319">
        <v>407.4</v>
      </c>
      <c r="Z22" s="319">
        <v>2882.6</v>
      </c>
      <c r="AA22" s="319">
        <v>1719.9</v>
      </c>
      <c r="AB22" s="319">
        <v>157.30000000000001</v>
      </c>
      <c r="AC22" s="319">
        <v>515.5</v>
      </c>
      <c r="AD22" s="319">
        <v>514</v>
      </c>
      <c r="AE22" s="319">
        <v>1695</v>
      </c>
      <c r="AF22" s="319">
        <v>1688.8</v>
      </c>
      <c r="AG22" s="319">
        <v>1189.5</v>
      </c>
      <c r="AH22" s="319">
        <v>2721.5</v>
      </c>
      <c r="AI22" s="319">
        <v>356.3</v>
      </c>
      <c r="AJ22" s="319">
        <v>2088</v>
      </c>
      <c r="AK22" s="319">
        <v>1785.1</v>
      </c>
      <c r="AL22" s="319">
        <v>9741.3999999999978</v>
      </c>
      <c r="AM22" s="319">
        <f t="shared" si="4"/>
        <v>30731.199999999993</v>
      </c>
      <c r="AN22" s="319">
        <f t="shared" si="5"/>
        <v>31984.899999999994</v>
      </c>
      <c r="AO22" s="319">
        <f t="shared" si="6"/>
        <v>-7727.3001906999925</v>
      </c>
      <c r="AP22" s="333" t="s">
        <v>608</v>
      </c>
    </row>
    <row r="23" spans="1:42" s="289" customFormat="1" ht="12" customHeight="1">
      <c r="A23" s="176" t="s">
        <v>609</v>
      </c>
      <c r="B23" s="254">
        <v>103</v>
      </c>
      <c r="C23" s="254">
        <v>712</v>
      </c>
      <c r="D23" s="254">
        <v>3</v>
      </c>
      <c r="E23" s="254">
        <v>58</v>
      </c>
      <c r="F23" s="254">
        <f>110+290</f>
        <v>400</v>
      </c>
      <c r="G23" s="254">
        <v>17399</v>
      </c>
      <c r="H23" s="254">
        <v>0</v>
      </c>
      <c r="I23" s="254">
        <v>0</v>
      </c>
      <c r="J23" s="254">
        <v>0</v>
      </c>
      <c r="K23" s="254">
        <f t="shared" si="2"/>
        <v>5886.9605144999987</v>
      </c>
      <c r="L23" s="254">
        <f>20947+42.629*84.8005</f>
        <v>24561.960514499999</v>
      </c>
      <c r="M23" s="254">
        <v>18.600000000000001</v>
      </c>
      <c r="N23" s="254">
        <v>648.9</v>
      </c>
      <c r="O23" s="254">
        <f t="shared" si="3"/>
        <v>667.5</v>
      </c>
      <c r="P23" s="254">
        <v>167.6</v>
      </c>
      <c r="Q23" s="254">
        <v>252.4</v>
      </c>
      <c r="R23" s="254">
        <v>447.7</v>
      </c>
      <c r="S23" s="254">
        <v>1149.9000000000001</v>
      </c>
      <c r="T23" s="254">
        <v>339.1</v>
      </c>
      <c r="U23" s="228" t="s">
        <v>609</v>
      </c>
      <c r="V23" s="175" t="s">
        <v>609</v>
      </c>
      <c r="W23" s="254">
        <v>575.6</v>
      </c>
      <c r="X23" s="254">
        <v>458</v>
      </c>
      <c r="Y23" s="254">
        <v>765.9</v>
      </c>
      <c r="Z23" s="254">
        <v>2758.3</v>
      </c>
      <c r="AA23" s="254">
        <v>1845.3</v>
      </c>
      <c r="AB23" s="254">
        <v>110.1</v>
      </c>
      <c r="AC23" s="254">
        <v>996</v>
      </c>
      <c r="AD23" s="254">
        <v>552.5</v>
      </c>
      <c r="AE23" s="254">
        <v>1983.1</v>
      </c>
      <c r="AF23" s="254">
        <v>1657</v>
      </c>
      <c r="AG23" s="254">
        <v>1362.1</v>
      </c>
      <c r="AH23" s="254">
        <v>2880.7</v>
      </c>
      <c r="AI23" s="254">
        <v>430.3</v>
      </c>
      <c r="AJ23" s="254">
        <v>3153.5</v>
      </c>
      <c r="AK23" s="254">
        <v>2174.5</v>
      </c>
      <c r="AL23" s="254">
        <v>10446.200000000001</v>
      </c>
      <c r="AM23" s="254">
        <f t="shared" si="4"/>
        <v>34505.800000000003</v>
      </c>
      <c r="AN23" s="254">
        <f t="shared" si="5"/>
        <v>35173.300000000003</v>
      </c>
      <c r="AO23" s="254">
        <f t="shared" si="6"/>
        <v>-10611.339485500004</v>
      </c>
      <c r="AP23" s="228" t="s">
        <v>609</v>
      </c>
    </row>
    <row r="24" spans="1:42" s="289" customFormat="1" ht="12" customHeight="1">
      <c r="A24" s="341" t="s">
        <v>602</v>
      </c>
      <c r="B24" s="319">
        <v>113</v>
      </c>
      <c r="C24" s="319">
        <v>688</v>
      </c>
      <c r="D24" s="319">
        <v>1</v>
      </c>
      <c r="E24" s="319">
        <v>77</v>
      </c>
      <c r="F24" s="319">
        <f>103+238</f>
        <v>341</v>
      </c>
      <c r="G24" s="319">
        <v>18407</v>
      </c>
      <c r="H24" s="319">
        <v>0</v>
      </c>
      <c r="I24" s="319">
        <v>0</v>
      </c>
      <c r="J24" s="319">
        <v>0</v>
      </c>
      <c r="K24" s="319">
        <f t="shared" si="2"/>
        <v>6710.7729073999981</v>
      </c>
      <c r="L24" s="319">
        <f>22237+48.358*84.8003</f>
        <v>26337.772907399998</v>
      </c>
      <c r="M24" s="319">
        <v>21</v>
      </c>
      <c r="N24" s="319">
        <v>1241.5</v>
      </c>
      <c r="O24" s="319">
        <f t="shared" si="3"/>
        <v>1262.5</v>
      </c>
      <c r="P24" s="319">
        <v>304.39999999999998</v>
      </c>
      <c r="Q24" s="319">
        <v>227.79999999999998</v>
      </c>
      <c r="R24" s="319">
        <v>1040.6999999999998</v>
      </c>
      <c r="S24" s="319">
        <v>1102.2</v>
      </c>
      <c r="T24" s="319">
        <v>529.29999999999995</v>
      </c>
      <c r="U24" s="333" t="s">
        <v>602</v>
      </c>
      <c r="V24" s="332" t="s">
        <v>602</v>
      </c>
      <c r="W24" s="319">
        <v>633.59999999999991</v>
      </c>
      <c r="X24" s="319">
        <v>529.70000000000005</v>
      </c>
      <c r="Y24" s="319">
        <v>717.8</v>
      </c>
      <c r="Z24" s="319">
        <v>2937.6000000000004</v>
      </c>
      <c r="AA24" s="319">
        <v>1921.8</v>
      </c>
      <c r="AB24" s="319">
        <v>137.80000000000001</v>
      </c>
      <c r="AC24" s="319">
        <v>1469.1000000000001</v>
      </c>
      <c r="AD24" s="319">
        <v>564.29999999999995</v>
      </c>
      <c r="AE24" s="319">
        <v>2004.3</v>
      </c>
      <c r="AF24" s="319">
        <v>1824.3000000000002</v>
      </c>
      <c r="AG24" s="319">
        <v>1340.6</v>
      </c>
      <c r="AH24" s="319">
        <v>2994.9</v>
      </c>
      <c r="AI24" s="319">
        <v>454.8</v>
      </c>
      <c r="AJ24" s="319">
        <v>2917.2</v>
      </c>
      <c r="AK24" s="319">
        <v>1982.1</v>
      </c>
      <c r="AL24" s="319">
        <v>12452.8</v>
      </c>
      <c r="AM24" s="319">
        <f t="shared" si="4"/>
        <v>38087.1</v>
      </c>
      <c r="AN24" s="319">
        <f t="shared" si="5"/>
        <v>39349.599999999999</v>
      </c>
      <c r="AO24" s="319">
        <f t="shared" si="6"/>
        <v>-13011.8270926</v>
      </c>
      <c r="AP24" s="333" t="s">
        <v>602</v>
      </c>
    </row>
    <row r="25" spans="1:42" s="289" customFormat="1" ht="12" customHeight="1">
      <c r="A25" s="176" t="s">
        <v>610</v>
      </c>
      <c r="B25" s="254">
        <v>99</v>
      </c>
      <c r="C25" s="254">
        <v>916</v>
      </c>
      <c r="D25" s="254">
        <v>2</v>
      </c>
      <c r="E25" s="254">
        <v>76</v>
      </c>
      <c r="F25" s="254">
        <f>120+188</f>
        <v>308</v>
      </c>
      <c r="G25" s="254">
        <v>17359</v>
      </c>
      <c r="H25" s="254">
        <v>0</v>
      </c>
      <c r="I25" s="254">
        <v>0</v>
      </c>
      <c r="J25" s="254">
        <v>0</v>
      </c>
      <c r="K25" s="254">
        <f t="shared" si="2"/>
        <v>5771.7368434000018</v>
      </c>
      <c r="L25" s="254">
        <f>21013+41.494*84.8011</f>
        <v>24531.736843400002</v>
      </c>
      <c r="M25" s="254">
        <v>34.9</v>
      </c>
      <c r="N25" s="254">
        <v>700.3</v>
      </c>
      <c r="O25" s="254">
        <f t="shared" si="3"/>
        <v>735.19999999999993</v>
      </c>
      <c r="P25" s="254">
        <v>255.8</v>
      </c>
      <c r="Q25" s="254">
        <v>215</v>
      </c>
      <c r="R25" s="254">
        <v>1217.0999999999999</v>
      </c>
      <c r="S25" s="254">
        <v>1144.8</v>
      </c>
      <c r="T25" s="254">
        <v>273.10000000000002</v>
      </c>
      <c r="U25" s="228" t="s">
        <v>610</v>
      </c>
      <c r="V25" s="175" t="s">
        <v>610</v>
      </c>
      <c r="W25" s="254">
        <v>503.4</v>
      </c>
      <c r="X25" s="254">
        <v>778.8</v>
      </c>
      <c r="Y25" s="254">
        <v>556.70000000000005</v>
      </c>
      <c r="Z25" s="254">
        <v>3014.2</v>
      </c>
      <c r="AA25" s="254">
        <v>1917.8</v>
      </c>
      <c r="AB25" s="254">
        <v>637.6</v>
      </c>
      <c r="AC25" s="254">
        <v>979.1</v>
      </c>
      <c r="AD25" s="254">
        <v>505.1</v>
      </c>
      <c r="AE25" s="254">
        <v>2404.1</v>
      </c>
      <c r="AF25" s="254">
        <v>2238.4</v>
      </c>
      <c r="AG25" s="254">
        <v>1342.4</v>
      </c>
      <c r="AH25" s="254">
        <v>3051.8</v>
      </c>
      <c r="AI25" s="254">
        <v>562</v>
      </c>
      <c r="AJ25" s="254">
        <v>2797.2</v>
      </c>
      <c r="AK25" s="254">
        <v>1948.35</v>
      </c>
      <c r="AL25" s="254">
        <v>11669.7</v>
      </c>
      <c r="AM25" s="254">
        <f t="shared" si="4"/>
        <v>38012.450000000004</v>
      </c>
      <c r="AN25" s="254">
        <f t="shared" si="5"/>
        <v>38747.65</v>
      </c>
      <c r="AO25" s="254">
        <f t="shared" si="6"/>
        <v>-14215.9131566</v>
      </c>
      <c r="AP25" s="228" t="s">
        <v>610</v>
      </c>
    </row>
    <row r="26" spans="1:42" s="289" customFormat="1" ht="12" customHeight="1">
      <c r="A26" s="341" t="s">
        <v>611</v>
      </c>
      <c r="B26" s="319">
        <v>95</v>
      </c>
      <c r="C26" s="319">
        <v>728</v>
      </c>
      <c r="D26" s="319">
        <v>1</v>
      </c>
      <c r="E26" s="319">
        <v>54</v>
      </c>
      <c r="F26" s="319">
        <f>84+117</f>
        <v>201</v>
      </c>
      <c r="G26" s="319">
        <v>16168</v>
      </c>
      <c r="H26" s="319">
        <v>0</v>
      </c>
      <c r="I26" s="319">
        <v>0</v>
      </c>
      <c r="J26" s="319">
        <v>0</v>
      </c>
      <c r="K26" s="319">
        <f t="shared" si="2"/>
        <v>5578.6341326000002</v>
      </c>
      <c r="L26" s="319">
        <f>19466+39.618*84.8007</f>
        <v>22825.6341326</v>
      </c>
      <c r="M26" s="319">
        <v>370.9</v>
      </c>
      <c r="N26" s="319">
        <v>1547.9</v>
      </c>
      <c r="O26" s="319">
        <f t="shared" si="3"/>
        <v>1918.8000000000002</v>
      </c>
      <c r="P26" s="319">
        <v>261.29999999999995</v>
      </c>
      <c r="Q26" s="319">
        <v>208.1</v>
      </c>
      <c r="R26" s="319">
        <v>776.2</v>
      </c>
      <c r="S26" s="319">
        <v>1130.5</v>
      </c>
      <c r="T26" s="319">
        <v>719.5</v>
      </c>
      <c r="U26" s="333" t="s">
        <v>611</v>
      </c>
      <c r="V26" s="332" t="s">
        <v>611</v>
      </c>
      <c r="W26" s="319">
        <v>558.20000000000005</v>
      </c>
      <c r="X26" s="319">
        <v>377.8</v>
      </c>
      <c r="Y26" s="319">
        <v>735.5</v>
      </c>
      <c r="Z26" s="319">
        <v>2732.3</v>
      </c>
      <c r="AA26" s="319">
        <v>1658.1</v>
      </c>
      <c r="AB26" s="319">
        <v>88.100000000000009</v>
      </c>
      <c r="AC26" s="319">
        <v>694.9</v>
      </c>
      <c r="AD26" s="319">
        <v>518.69999999999993</v>
      </c>
      <c r="AE26" s="319">
        <v>2132.1000000000004</v>
      </c>
      <c r="AF26" s="319">
        <v>2452.9</v>
      </c>
      <c r="AG26" s="319">
        <v>1294.1999999999998</v>
      </c>
      <c r="AH26" s="319">
        <v>2919.2999999999997</v>
      </c>
      <c r="AI26" s="319">
        <v>575</v>
      </c>
      <c r="AJ26" s="319">
        <v>2419.1999999999998</v>
      </c>
      <c r="AK26" s="319">
        <v>3773.7200000000003</v>
      </c>
      <c r="AL26" s="319">
        <v>11889.399999999998</v>
      </c>
      <c r="AM26" s="319">
        <f t="shared" si="4"/>
        <v>37915.019999999997</v>
      </c>
      <c r="AN26" s="319">
        <f t="shared" si="5"/>
        <v>39833.82</v>
      </c>
      <c r="AO26" s="319">
        <f t="shared" si="6"/>
        <v>-17008.1858674</v>
      </c>
      <c r="AP26" s="333" t="s">
        <v>611</v>
      </c>
    </row>
    <row r="27" spans="1:42" s="289" customFormat="1" ht="12" customHeight="1">
      <c r="A27" s="176" t="s">
        <v>603</v>
      </c>
      <c r="B27" s="254">
        <v>75</v>
      </c>
      <c r="C27" s="254">
        <v>696</v>
      </c>
      <c r="D27" s="254">
        <v>3</v>
      </c>
      <c r="E27" s="254">
        <v>85</v>
      </c>
      <c r="F27" s="254">
        <f>83+157</f>
        <v>240</v>
      </c>
      <c r="G27" s="254">
        <v>20158</v>
      </c>
      <c r="H27" s="254">
        <v>87</v>
      </c>
      <c r="I27" s="254">
        <v>1</v>
      </c>
      <c r="J27" s="254">
        <v>0</v>
      </c>
      <c r="K27" s="254">
        <f t="shared" si="2"/>
        <v>6561.7251930999992</v>
      </c>
      <c r="L27" s="254">
        <f>23950+46.659*84.8009</f>
        <v>27906.725193099999</v>
      </c>
      <c r="M27" s="254">
        <v>891.9</v>
      </c>
      <c r="N27" s="254">
        <v>1596.7</v>
      </c>
      <c r="O27" s="254">
        <f t="shared" si="3"/>
        <v>2488.6</v>
      </c>
      <c r="P27" s="254">
        <v>241.29999999999998</v>
      </c>
      <c r="Q27" s="254">
        <v>289</v>
      </c>
      <c r="R27" s="254">
        <v>1286.5</v>
      </c>
      <c r="S27" s="254">
        <v>2277.5</v>
      </c>
      <c r="T27" s="254">
        <v>1073.5</v>
      </c>
      <c r="U27" s="228" t="s">
        <v>603</v>
      </c>
      <c r="V27" s="175" t="s">
        <v>603</v>
      </c>
      <c r="W27" s="254">
        <v>513.29999999999995</v>
      </c>
      <c r="X27" s="254">
        <v>715.8</v>
      </c>
      <c r="Y27" s="254">
        <v>1066.5</v>
      </c>
      <c r="Z27" s="254">
        <v>4578.8</v>
      </c>
      <c r="AA27" s="254">
        <v>1947.2</v>
      </c>
      <c r="AB27" s="254">
        <v>139</v>
      </c>
      <c r="AC27" s="254">
        <v>783.9</v>
      </c>
      <c r="AD27" s="254">
        <v>556.9</v>
      </c>
      <c r="AE27" s="254">
        <v>2643.8</v>
      </c>
      <c r="AF27" s="254">
        <v>3206.2000000000003</v>
      </c>
      <c r="AG27" s="254">
        <v>1464.2</v>
      </c>
      <c r="AH27" s="254">
        <v>3179.1</v>
      </c>
      <c r="AI27" s="254">
        <v>630.5</v>
      </c>
      <c r="AJ27" s="254">
        <v>3576</v>
      </c>
      <c r="AK27" s="254">
        <v>1840.39</v>
      </c>
      <c r="AL27" s="254">
        <v>12001.999999999993</v>
      </c>
      <c r="AM27" s="254">
        <f t="shared" si="4"/>
        <v>44011.39</v>
      </c>
      <c r="AN27" s="254">
        <f t="shared" si="5"/>
        <v>46499.99</v>
      </c>
      <c r="AO27" s="254">
        <f t="shared" si="6"/>
        <v>-18593.264806899999</v>
      </c>
      <c r="AP27" s="228" t="s">
        <v>603</v>
      </c>
    </row>
    <row r="28" spans="1:42" s="289" customFormat="1" ht="12" customHeight="1">
      <c r="A28" s="341" t="s">
        <v>612</v>
      </c>
      <c r="B28" s="319">
        <v>48</v>
      </c>
      <c r="C28" s="319">
        <v>562</v>
      </c>
      <c r="D28" s="319">
        <v>3</v>
      </c>
      <c r="E28" s="319">
        <v>74</v>
      </c>
      <c r="F28" s="319">
        <f>49+135</f>
        <v>184</v>
      </c>
      <c r="G28" s="319">
        <v>16426</v>
      </c>
      <c r="H28" s="319">
        <v>0</v>
      </c>
      <c r="I28" s="319">
        <v>0</v>
      </c>
      <c r="J28" s="319">
        <v>0</v>
      </c>
      <c r="K28" s="319">
        <f t="shared" si="2"/>
        <v>6473.877206000001</v>
      </c>
      <c r="L28" s="319">
        <f>19666+84.801*48.406</f>
        <v>23770.877206000001</v>
      </c>
      <c r="M28" s="319">
        <v>773</v>
      </c>
      <c r="N28" s="319">
        <v>954</v>
      </c>
      <c r="O28" s="319">
        <f t="shared" si="3"/>
        <v>1727</v>
      </c>
      <c r="P28" s="319">
        <v>267</v>
      </c>
      <c r="Q28" s="319">
        <v>241</v>
      </c>
      <c r="R28" s="319">
        <v>699</v>
      </c>
      <c r="S28" s="319">
        <v>1734</v>
      </c>
      <c r="T28" s="319">
        <v>212</v>
      </c>
      <c r="U28" s="333" t="s">
        <v>612</v>
      </c>
      <c r="V28" s="332" t="s">
        <v>612</v>
      </c>
      <c r="W28" s="319">
        <v>1219</v>
      </c>
      <c r="X28" s="319">
        <v>690</v>
      </c>
      <c r="Y28" s="319">
        <v>810</v>
      </c>
      <c r="Z28" s="319">
        <v>4334</v>
      </c>
      <c r="AA28" s="319">
        <v>1992</v>
      </c>
      <c r="AB28" s="319">
        <v>132</v>
      </c>
      <c r="AC28" s="319">
        <v>228</v>
      </c>
      <c r="AD28" s="319">
        <v>525</v>
      </c>
      <c r="AE28" s="319">
        <v>2324</v>
      </c>
      <c r="AF28" s="319">
        <v>3119</v>
      </c>
      <c r="AG28" s="319">
        <v>1559</v>
      </c>
      <c r="AH28" s="319">
        <v>2884</v>
      </c>
      <c r="AI28" s="319">
        <v>669</v>
      </c>
      <c r="AJ28" s="319">
        <v>3051</v>
      </c>
      <c r="AK28" s="319">
        <v>1628.98</v>
      </c>
      <c r="AL28" s="319">
        <v>12026.100000000006</v>
      </c>
      <c r="AM28" s="319">
        <f t="shared" si="4"/>
        <v>40344.080000000002</v>
      </c>
      <c r="AN28" s="319">
        <f t="shared" si="5"/>
        <v>42071.08</v>
      </c>
      <c r="AO28" s="319">
        <f t="shared" si="6"/>
        <v>-18300.202794000001</v>
      </c>
      <c r="AP28" s="333" t="s">
        <v>612</v>
      </c>
    </row>
    <row r="29" spans="1:42" s="289" customFormat="1" ht="12" customHeight="1">
      <c r="A29" s="176" t="s">
        <v>613</v>
      </c>
      <c r="B29" s="254">
        <v>51</v>
      </c>
      <c r="C29" s="254">
        <v>606</v>
      </c>
      <c r="D29" s="254">
        <v>2</v>
      </c>
      <c r="E29" s="254">
        <v>91</v>
      </c>
      <c r="F29" s="254">
        <f>54+167</f>
        <v>221</v>
      </c>
      <c r="G29" s="254">
        <v>17513</v>
      </c>
      <c r="H29" s="254">
        <v>0</v>
      </c>
      <c r="I29" s="254">
        <v>0</v>
      </c>
      <c r="J29" s="254">
        <v>0</v>
      </c>
      <c r="K29" s="254">
        <f t="shared" si="2"/>
        <v>5997.1338976000006</v>
      </c>
      <c r="L29" s="254">
        <f>21005+40.992*84.8003</f>
        <v>24481.133897600001</v>
      </c>
      <c r="M29" s="254">
        <v>580.20000000000005</v>
      </c>
      <c r="N29" s="254">
        <v>980.09999999999991</v>
      </c>
      <c r="O29" s="254">
        <f t="shared" si="3"/>
        <v>1560.3</v>
      </c>
      <c r="P29" s="254">
        <v>260.8</v>
      </c>
      <c r="Q29" s="254">
        <v>275.39999999999998</v>
      </c>
      <c r="R29" s="254">
        <v>967.3</v>
      </c>
      <c r="S29" s="254">
        <v>1412.9</v>
      </c>
      <c r="T29" s="254">
        <v>363.1</v>
      </c>
      <c r="U29" s="228" t="s">
        <v>613</v>
      </c>
      <c r="V29" s="175" t="s">
        <v>613</v>
      </c>
      <c r="W29" s="254">
        <v>553</v>
      </c>
      <c r="X29" s="254">
        <v>742.6</v>
      </c>
      <c r="Y29" s="254">
        <v>399.8</v>
      </c>
      <c r="Z29" s="254">
        <v>4270.2</v>
      </c>
      <c r="AA29" s="254">
        <v>1838.9</v>
      </c>
      <c r="AB29" s="254">
        <v>125</v>
      </c>
      <c r="AC29" s="254">
        <v>371.8</v>
      </c>
      <c r="AD29" s="254">
        <v>542.80000000000007</v>
      </c>
      <c r="AE29" s="254">
        <v>2622.5</v>
      </c>
      <c r="AF29" s="254">
        <v>2564.8000000000002</v>
      </c>
      <c r="AG29" s="254">
        <v>1763.7</v>
      </c>
      <c r="AH29" s="254">
        <v>3283.2999999999997</v>
      </c>
      <c r="AI29" s="254">
        <v>593.79999999999995</v>
      </c>
      <c r="AJ29" s="254">
        <v>3855.6</v>
      </c>
      <c r="AK29" s="254">
        <v>2286.1400000000003</v>
      </c>
      <c r="AL29" s="254">
        <v>11468.099999999999</v>
      </c>
      <c r="AM29" s="254">
        <f t="shared" si="4"/>
        <v>40561.539999999994</v>
      </c>
      <c r="AN29" s="254">
        <f t="shared" si="5"/>
        <v>42121.84</v>
      </c>
      <c r="AO29" s="254">
        <f t="shared" si="6"/>
        <v>-17640.706102399996</v>
      </c>
      <c r="AP29" s="228" t="s">
        <v>613</v>
      </c>
    </row>
    <row r="30" spans="1:42" s="289" customFormat="1" ht="12" customHeight="1">
      <c r="A30" s="341" t="s">
        <v>604</v>
      </c>
      <c r="B30" s="319">
        <v>71</v>
      </c>
      <c r="C30" s="319">
        <v>593</v>
      </c>
      <c r="D30" s="319">
        <v>1</v>
      </c>
      <c r="E30" s="319">
        <v>85</v>
      </c>
      <c r="F30" s="319">
        <f>97+225</f>
        <v>322</v>
      </c>
      <c r="G30" s="319">
        <v>20750</v>
      </c>
      <c r="H30" s="319">
        <v>0</v>
      </c>
      <c r="I30" s="319">
        <v>0</v>
      </c>
      <c r="J30" s="319">
        <v>0</v>
      </c>
      <c r="K30" s="319">
        <f t="shared" si="2"/>
        <v>7990.8028440000016</v>
      </c>
      <c r="L30" s="319">
        <f>24891+58.03*84.8148</f>
        <v>29812.802844000002</v>
      </c>
      <c r="M30" s="319">
        <v>415.3</v>
      </c>
      <c r="N30" s="319">
        <v>1254.9000000000001</v>
      </c>
      <c r="O30" s="319">
        <f t="shared" si="3"/>
        <v>1670.2</v>
      </c>
      <c r="P30" s="319">
        <v>279.2</v>
      </c>
      <c r="Q30" s="319">
        <v>276.60000000000002</v>
      </c>
      <c r="R30" s="319">
        <v>1538.1</v>
      </c>
      <c r="S30" s="319">
        <v>1778</v>
      </c>
      <c r="T30" s="319">
        <v>913.4</v>
      </c>
      <c r="U30" s="333" t="s">
        <v>604</v>
      </c>
      <c r="V30" s="332" t="s">
        <v>604</v>
      </c>
      <c r="W30" s="319">
        <v>444.3</v>
      </c>
      <c r="X30" s="319">
        <v>584.20000000000005</v>
      </c>
      <c r="Y30" s="319">
        <v>814.2</v>
      </c>
      <c r="Z30" s="319">
        <v>5503.5</v>
      </c>
      <c r="AA30" s="319">
        <v>2299.1999999999998</v>
      </c>
      <c r="AB30" s="319">
        <v>523.29999999999995</v>
      </c>
      <c r="AC30" s="319">
        <v>896.69999999999993</v>
      </c>
      <c r="AD30" s="319">
        <v>679.8</v>
      </c>
      <c r="AE30" s="319">
        <v>2928.1</v>
      </c>
      <c r="AF30" s="319">
        <v>2740.1000000000004</v>
      </c>
      <c r="AG30" s="319">
        <v>2374.3000000000002</v>
      </c>
      <c r="AH30" s="319">
        <v>3621.7999999999997</v>
      </c>
      <c r="AI30" s="319">
        <v>561.1</v>
      </c>
      <c r="AJ30" s="319">
        <v>4650.2</v>
      </c>
      <c r="AK30" s="319">
        <v>2621.67</v>
      </c>
      <c r="AL30" s="319">
        <v>13961.2</v>
      </c>
      <c r="AM30" s="319">
        <f t="shared" si="4"/>
        <v>49988.97</v>
      </c>
      <c r="AN30" s="319">
        <f t="shared" si="5"/>
        <v>51659.17</v>
      </c>
      <c r="AO30" s="319">
        <f t="shared" si="6"/>
        <v>-21846.367155999997</v>
      </c>
      <c r="AP30" s="333" t="s">
        <v>604</v>
      </c>
    </row>
    <row r="31" spans="1:42" s="289" customFormat="1" ht="12" customHeight="1">
      <c r="A31" s="1200" t="s">
        <v>2165</v>
      </c>
      <c r="B31" s="981">
        <f>SUM(B32:B43)</f>
        <v>1570</v>
      </c>
      <c r="C31" s="981">
        <f t="shared" ref="C31:T31" si="7">SUM(C32:C43)</f>
        <v>7191</v>
      </c>
      <c r="D31" s="981">
        <f t="shared" si="7"/>
        <v>17</v>
      </c>
      <c r="E31" s="981">
        <f t="shared" si="7"/>
        <v>1054</v>
      </c>
      <c r="F31" s="981">
        <f t="shared" si="7"/>
        <v>4015</v>
      </c>
      <c r="G31" s="981">
        <f t="shared" si="7"/>
        <v>283167</v>
      </c>
      <c r="H31" s="981">
        <f t="shared" si="7"/>
        <v>0</v>
      </c>
      <c r="I31" s="981">
        <f t="shared" si="7"/>
        <v>0</v>
      </c>
      <c r="J31" s="981">
        <f t="shared" si="7"/>
        <v>0</v>
      </c>
      <c r="K31" s="981">
        <f t="shared" si="7"/>
        <v>90752.823818399978</v>
      </c>
      <c r="L31" s="981">
        <f t="shared" si="7"/>
        <v>387766.82381840004</v>
      </c>
      <c r="M31" s="981">
        <f t="shared" si="7"/>
        <v>4680.0999999999995</v>
      </c>
      <c r="N31" s="981">
        <f t="shared" si="7"/>
        <v>17799.499999999996</v>
      </c>
      <c r="O31" s="981">
        <f t="shared" si="7"/>
        <v>22479.599999999999</v>
      </c>
      <c r="P31" s="981">
        <f t="shared" si="7"/>
        <v>3292.1999999999994</v>
      </c>
      <c r="Q31" s="981">
        <f t="shared" si="7"/>
        <v>2909.9000000000005</v>
      </c>
      <c r="R31" s="981">
        <f t="shared" si="7"/>
        <v>13854.400000000001</v>
      </c>
      <c r="S31" s="981">
        <f t="shared" si="7"/>
        <v>21879.8</v>
      </c>
      <c r="T31" s="981">
        <f t="shared" si="7"/>
        <v>6184.5</v>
      </c>
      <c r="U31" s="516" t="s">
        <v>2165</v>
      </c>
      <c r="V31" s="107" t="s">
        <v>2165</v>
      </c>
      <c r="W31" s="981">
        <f t="shared" ref="W31:AO31" si="8">SUM(W32:W43)</f>
        <v>10239.5</v>
      </c>
      <c r="X31" s="981">
        <f t="shared" si="8"/>
        <v>6630.9000000000005</v>
      </c>
      <c r="Y31" s="981">
        <f t="shared" si="8"/>
        <v>7574.2</v>
      </c>
      <c r="Z31" s="981">
        <f t="shared" si="8"/>
        <v>96836.7</v>
      </c>
      <c r="AA31" s="981">
        <f t="shared" si="8"/>
        <v>27750.2</v>
      </c>
      <c r="AB31" s="981">
        <f t="shared" si="8"/>
        <v>5881.6999999999989</v>
      </c>
      <c r="AC31" s="981">
        <f t="shared" si="8"/>
        <v>24972.9</v>
      </c>
      <c r="AD31" s="981">
        <f t="shared" si="8"/>
        <v>8024.1000000000013</v>
      </c>
      <c r="AE31" s="981">
        <f t="shared" si="8"/>
        <v>32009.100000000006</v>
      </c>
      <c r="AF31" s="981">
        <f t="shared" si="8"/>
        <v>35590.799999999996</v>
      </c>
      <c r="AG31" s="981">
        <f t="shared" si="8"/>
        <v>38249.700000000004</v>
      </c>
      <c r="AH31" s="981">
        <f t="shared" si="8"/>
        <v>54650</v>
      </c>
      <c r="AI31" s="981">
        <f t="shared" si="8"/>
        <v>9381.9</v>
      </c>
      <c r="AJ31" s="981">
        <f t="shared" si="8"/>
        <v>51056.5</v>
      </c>
      <c r="AK31" s="981">
        <f t="shared" si="8"/>
        <v>34918.641266736646</v>
      </c>
      <c r="AL31" s="981">
        <f t="shared" si="8"/>
        <v>173384.4</v>
      </c>
      <c r="AM31" s="981">
        <f t="shared" si="8"/>
        <v>665272.04126673657</v>
      </c>
      <c r="AN31" s="981">
        <f t="shared" si="8"/>
        <v>687751.64126673655</v>
      </c>
      <c r="AO31" s="981">
        <f t="shared" si="8"/>
        <v>-299984.81744833663</v>
      </c>
      <c r="AP31" s="516" t="s">
        <v>2165</v>
      </c>
    </row>
    <row r="32" spans="1:42" s="289" customFormat="1" ht="12" customHeight="1">
      <c r="A32" s="341" t="s">
        <v>606</v>
      </c>
      <c r="B32" s="319">
        <v>67</v>
      </c>
      <c r="C32" s="319">
        <v>413</v>
      </c>
      <c r="D32" s="319">
        <v>1</v>
      </c>
      <c r="E32" s="319">
        <v>67</v>
      </c>
      <c r="F32" s="319">
        <f>69+236</f>
        <v>305</v>
      </c>
      <c r="G32" s="319">
        <v>15541</v>
      </c>
      <c r="H32" s="319">
        <v>0</v>
      </c>
      <c r="I32" s="319">
        <v>0</v>
      </c>
      <c r="J32" s="319">
        <v>0</v>
      </c>
      <c r="K32" s="319">
        <f t="shared" si="2"/>
        <v>5852.970652</v>
      </c>
      <c r="L32" s="319">
        <f>18519+84.8037*43.96</f>
        <v>22246.970652</v>
      </c>
      <c r="M32" s="319">
        <v>56.5</v>
      </c>
      <c r="N32" s="319">
        <v>1009.3000000000001</v>
      </c>
      <c r="O32" s="319">
        <f t="shared" si="3"/>
        <v>1065.8000000000002</v>
      </c>
      <c r="P32" s="319">
        <v>226.60000000000002</v>
      </c>
      <c r="Q32" s="319">
        <v>247.39999999999998</v>
      </c>
      <c r="R32" s="319">
        <v>1344.1999999999998</v>
      </c>
      <c r="S32" s="319">
        <v>830.09999999999991</v>
      </c>
      <c r="T32" s="319">
        <v>324.3</v>
      </c>
      <c r="U32" s="333" t="s">
        <v>606</v>
      </c>
      <c r="V32" s="332" t="s">
        <v>606</v>
      </c>
      <c r="W32" s="319">
        <v>587.29999999999995</v>
      </c>
      <c r="X32" s="319">
        <v>361.5</v>
      </c>
      <c r="Y32" s="319">
        <v>455</v>
      </c>
      <c r="Z32" s="319">
        <v>4623.3999999999996</v>
      </c>
      <c r="AA32" s="319">
        <v>1798.8</v>
      </c>
      <c r="AB32" s="319">
        <v>400.5</v>
      </c>
      <c r="AC32" s="319">
        <v>419.9</v>
      </c>
      <c r="AD32" s="319">
        <v>512.70000000000005</v>
      </c>
      <c r="AE32" s="319">
        <v>2291.3000000000002</v>
      </c>
      <c r="AF32" s="319">
        <v>2313.3999999999996</v>
      </c>
      <c r="AG32" s="319">
        <v>2006.5</v>
      </c>
      <c r="AH32" s="319">
        <v>2812</v>
      </c>
      <c r="AI32" s="319">
        <v>528.4</v>
      </c>
      <c r="AJ32" s="319">
        <v>2728.7</v>
      </c>
      <c r="AK32" s="319">
        <v>2788.6812667366389</v>
      </c>
      <c r="AL32" s="319">
        <v>9928.0000000000018</v>
      </c>
      <c r="AM32" s="319">
        <f t="shared" si="4"/>
        <v>37528.681266736647</v>
      </c>
      <c r="AN32" s="319">
        <f t="shared" si="5"/>
        <v>38594.48126673665</v>
      </c>
      <c r="AO32" s="319">
        <f t="shared" si="6"/>
        <v>-16347.51061473665</v>
      </c>
      <c r="AP32" s="333" t="s">
        <v>606</v>
      </c>
    </row>
    <row r="33" spans="1:42" s="289" customFormat="1" ht="12" customHeight="1">
      <c r="A33" s="176" t="s">
        <v>115</v>
      </c>
      <c r="B33" s="254">
        <v>66</v>
      </c>
      <c r="C33" s="254">
        <v>579</v>
      </c>
      <c r="D33" s="254">
        <v>1</v>
      </c>
      <c r="E33" s="254">
        <v>90</v>
      </c>
      <c r="F33" s="254">
        <f>345+72</f>
        <v>417</v>
      </c>
      <c r="G33" s="254">
        <v>21363</v>
      </c>
      <c r="H33" s="254">
        <v>0</v>
      </c>
      <c r="I33" s="254">
        <v>0</v>
      </c>
      <c r="J33" s="254">
        <v>0</v>
      </c>
      <c r="K33" s="254">
        <f t="shared" si="2"/>
        <v>7611.4017791000006</v>
      </c>
      <c r="L33" s="254">
        <f>25598+84.9523*53.317</f>
        <v>30127.401779100001</v>
      </c>
      <c r="M33" s="254">
        <v>492.6</v>
      </c>
      <c r="N33" s="254">
        <v>958.3</v>
      </c>
      <c r="O33" s="254">
        <f t="shared" si="3"/>
        <v>1450.9</v>
      </c>
      <c r="P33" s="254">
        <v>312.10000000000002</v>
      </c>
      <c r="Q33" s="254">
        <v>257.8</v>
      </c>
      <c r="R33" s="254">
        <v>871.7</v>
      </c>
      <c r="S33" s="254">
        <v>1242</v>
      </c>
      <c r="T33" s="254">
        <v>422.7</v>
      </c>
      <c r="U33" s="228" t="s">
        <v>115</v>
      </c>
      <c r="V33" s="175" t="s">
        <v>115</v>
      </c>
      <c r="W33" s="254">
        <v>481</v>
      </c>
      <c r="X33" s="254">
        <v>493.40000000000003</v>
      </c>
      <c r="Y33" s="254">
        <v>346.7</v>
      </c>
      <c r="Z33" s="254">
        <v>6220</v>
      </c>
      <c r="AA33" s="254">
        <v>2073.9</v>
      </c>
      <c r="AB33" s="254">
        <v>692.8</v>
      </c>
      <c r="AC33" s="254">
        <v>989.1</v>
      </c>
      <c r="AD33" s="254">
        <v>649</v>
      </c>
      <c r="AE33" s="254">
        <v>2713.2</v>
      </c>
      <c r="AF33" s="254">
        <v>2739</v>
      </c>
      <c r="AG33" s="254">
        <v>2923.5</v>
      </c>
      <c r="AH33" s="254">
        <v>4192.3999999999996</v>
      </c>
      <c r="AI33" s="254">
        <v>651.70000000000005</v>
      </c>
      <c r="AJ33" s="254">
        <v>3283.3</v>
      </c>
      <c r="AK33" s="254">
        <v>2324.7399999999998</v>
      </c>
      <c r="AL33" s="254">
        <v>13171.2</v>
      </c>
      <c r="AM33" s="254">
        <f t="shared" si="4"/>
        <v>47051.240000000005</v>
      </c>
      <c r="AN33" s="254">
        <f t="shared" si="5"/>
        <v>48502.140000000007</v>
      </c>
      <c r="AO33" s="254">
        <f t="shared" si="6"/>
        <v>-18374.738220900006</v>
      </c>
      <c r="AP33" s="228" t="s">
        <v>115</v>
      </c>
    </row>
    <row r="34" spans="1:42" s="289" customFormat="1" ht="12" customHeight="1">
      <c r="A34" s="341" t="s">
        <v>601</v>
      </c>
      <c r="B34" s="319">
        <v>104</v>
      </c>
      <c r="C34" s="319">
        <v>525</v>
      </c>
      <c r="D34" s="319">
        <v>3</v>
      </c>
      <c r="E34" s="319">
        <v>79</v>
      </c>
      <c r="F34" s="319">
        <f>77+301</f>
        <v>378</v>
      </c>
      <c r="G34" s="319">
        <v>22710</v>
      </c>
      <c r="H34" s="319">
        <v>0</v>
      </c>
      <c r="I34" s="319">
        <v>0</v>
      </c>
      <c r="J34" s="319">
        <v>0</v>
      </c>
      <c r="K34" s="319">
        <f t="shared" si="2"/>
        <v>7751.5207187000015</v>
      </c>
      <c r="L34" s="319">
        <f>26793+85.2587*55.801</f>
        <v>31550.520718700001</v>
      </c>
      <c r="M34" s="319">
        <v>436.9</v>
      </c>
      <c r="N34" s="319">
        <v>1055</v>
      </c>
      <c r="O34" s="319">
        <f t="shared" si="3"/>
        <v>1491.9</v>
      </c>
      <c r="P34" s="319">
        <v>286.29999999999995</v>
      </c>
      <c r="Q34" s="319">
        <v>210.5</v>
      </c>
      <c r="R34" s="319">
        <v>649.20000000000005</v>
      </c>
      <c r="S34" s="319">
        <v>1748.8</v>
      </c>
      <c r="T34" s="319">
        <v>364.29999999999995</v>
      </c>
      <c r="U34" s="333" t="s">
        <v>601</v>
      </c>
      <c r="V34" s="332" t="s">
        <v>601</v>
      </c>
      <c r="W34" s="319">
        <v>403.1</v>
      </c>
      <c r="X34" s="319">
        <v>399.4</v>
      </c>
      <c r="Y34" s="319">
        <v>448.1</v>
      </c>
      <c r="Z34" s="319">
        <v>4113</v>
      </c>
      <c r="AA34" s="319">
        <v>2270</v>
      </c>
      <c r="AB34" s="319">
        <v>2714.6</v>
      </c>
      <c r="AC34" s="319">
        <v>3600.2</v>
      </c>
      <c r="AD34" s="319">
        <v>652.1</v>
      </c>
      <c r="AE34" s="319">
        <v>2557.6</v>
      </c>
      <c r="AF34" s="319">
        <v>2498.6</v>
      </c>
      <c r="AG34" s="319">
        <v>3314.6</v>
      </c>
      <c r="AH34" s="319">
        <v>4364</v>
      </c>
      <c r="AI34" s="319">
        <v>661.69999999999993</v>
      </c>
      <c r="AJ34" s="319">
        <v>3703.4</v>
      </c>
      <c r="AK34" s="319">
        <v>2088.02</v>
      </c>
      <c r="AL34" s="319">
        <v>13316.599999999999</v>
      </c>
      <c r="AM34" s="319">
        <f t="shared" si="4"/>
        <v>50364.119999999995</v>
      </c>
      <c r="AN34" s="319">
        <f t="shared" si="5"/>
        <v>51856.02</v>
      </c>
      <c r="AO34" s="319">
        <f t="shared" si="6"/>
        <v>-20305.499281299995</v>
      </c>
      <c r="AP34" s="333" t="s">
        <v>601</v>
      </c>
    </row>
    <row r="35" spans="1:42" s="289" customFormat="1" ht="12" customHeight="1">
      <c r="A35" s="176" t="s">
        <v>608</v>
      </c>
      <c r="B35" s="254">
        <v>168</v>
      </c>
      <c r="C35" s="254">
        <v>547</v>
      </c>
      <c r="D35" s="254">
        <v>2</v>
      </c>
      <c r="E35" s="254">
        <v>75</v>
      </c>
      <c r="F35" s="254">
        <f>94+348</f>
        <v>442</v>
      </c>
      <c r="G35" s="254">
        <v>22099</v>
      </c>
      <c r="H35" s="254">
        <v>0</v>
      </c>
      <c r="I35" s="254">
        <v>0</v>
      </c>
      <c r="J35" s="254">
        <v>0</v>
      </c>
      <c r="K35" s="254">
        <f t="shared" si="2"/>
        <v>7285.3323669999991</v>
      </c>
      <c r="L35" s="254">
        <f>26229+85.6121*51.27</f>
        <v>30618.332366999999</v>
      </c>
      <c r="M35" s="254">
        <v>1183.9000000000001</v>
      </c>
      <c r="N35" s="254">
        <v>1831.1</v>
      </c>
      <c r="O35" s="254">
        <f t="shared" si="3"/>
        <v>3015</v>
      </c>
      <c r="P35" s="254">
        <v>127.80000000000001</v>
      </c>
      <c r="Q35" s="254">
        <v>173.5</v>
      </c>
      <c r="R35" s="254">
        <v>628.79999999999995</v>
      </c>
      <c r="S35" s="254">
        <v>2293.2999999999997</v>
      </c>
      <c r="T35" s="254">
        <v>341.8</v>
      </c>
      <c r="U35" s="228" t="s">
        <v>608</v>
      </c>
      <c r="V35" s="175" t="s">
        <v>608</v>
      </c>
      <c r="W35" s="254">
        <v>878.2</v>
      </c>
      <c r="X35" s="254">
        <v>482.5</v>
      </c>
      <c r="Y35" s="254">
        <v>471.7</v>
      </c>
      <c r="Z35" s="254">
        <v>7774.2999999999993</v>
      </c>
      <c r="AA35" s="254">
        <v>2103.8000000000002</v>
      </c>
      <c r="AB35" s="254">
        <v>916.6</v>
      </c>
      <c r="AC35" s="254">
        <v>1859.3000000000002</v>
      </c>
      <c r="AD35" s="254">
        <v>562.1</v>
      </c>
      <c r="AE35" s="254">
        <v>2629.5</v>
      </c>
      <c r="AF35" s="254">
        <v>2085.1999999999998</v>
      </c>
      <c r="AG35" s="254">
        <v>3104</v>
      </c>
      <c r="AH35" s="254">
        <v>3824.3999999999996</v>
      </c>
      <c r="AI35" s="254">
        <v>612.4</v>
      </c>
      <c r="AJ35" s="254">
        <v>3207.5</v>
      </c>
      <c r="AK35" s="254">
        <v>2572</v>
      </c>
      <c r="AL35" s="254">
        <v>13007.100000000004</v>
      </c>
      <c r="AM35" s="254">
        <f t="shared" si="4"/>
        <v>49655.8</v>
      </c>
      <c r="AN35" s="254">
        <f t="shared" si="5"/>
        <v>52670.8</v>
      </c>
      <c r="AO35" s="254">
        <f t="shared" si="6"/>
        <v>-22052.467633000004</v>
      </c>
      <c r="AP35" s="228" t="s">
        <v>608</v>
      </c>
    </row>
    <row r="36" spans="1:42" s="289" customFormat="1" ht="12" customHeight="1">
      <c r="A36" s="341" t="s">
        <v>609</v>
      </c>
      <c r="B36" s="319">
        <v>191</v>
      </c>
      <c r="C36" s="319">
        <v>593</v>
      </c>
      <c r="D36" s="319">
        <v>1</v>
      </c>
      <c r="E36" s="319">
        <v>81</v>
      </c>
      <c r="F36" s="319">
        <f>90+389</f>
        <v>479</v>
      </c>
      <c r="G36" s="319">
        <v>20989</v>
      </c>
      <c r="H36" s="319">
        <v>0</v>
      </c>
      <c r="I36" s="319">
        <v>0</v>
      </c>
      <c r="J36" s="319">
        <v>0</v>
      </c>
      <c r="K36" s="319">
        <f t="shared" si="2"/>
        <v>7893.4045750000005</v>
      </c>
      <c r="L36" s="319">
        <f>25579+85.775*54.193</f>
        <v>30227.404575</v>
      </c>
      <c r="M36" s="319">
        <v>648.69999999999993</v>
      </c>
      <c r="N36" s="319">
        <v>1649.5</v>
      </c>
      <c r="O36" s="319">
        <f t="shared" si="3"/>
        <v>2298.1999999999998</v>
      </c>
      <c r="P36" s="319">
        <v>293.3</v>
      </c>
      <c r="Q36" s="319">
        <v>198.1</v>
      </c>
      <c r="R36" s="319">
        <v>1648</v>
      </c>
      <c r="S36" s="319">
        <v>2328.8000000000002</v>
      </c>
      <c r="T36" s="319">
        <v>598.9</v>
      </c>
      <c r="U36" s="333" t="s">
        <v>609</v>
      </c>
      <c r="V36" s="332" t="s">
        <v>609</v>
      </c>
      <c r="W36" s="319">
        <v>667.80000000000007</v>
      </c>
      <c r="X36" s="319">
        <v>469.7</v>
      </c>
      <c r="Y36" s="319">
        <v>448.7</v>
      </c>
      <c r="Z36" s="319">
        <v>10481.299999999999</v>
      </c>
      <c r="AA36" s="319">
        <v>2143.2999999999997</v>
      </c>
      <c r="AB36" s="319">
        <v>175.4</v>
      </c>
      <c r="AC36" s="319">
        <v>1487.1</v>
      </c>
      <c r="AD36" s="319">
        <v>589.40000000000009</v>
      </c>
      <c r="AE36" s="319">
        <v>2419</v>
      </c>
      <c r="AF36" s="319">
        <v>2387.8000000000002</v>
      </c>
      <c r="AG36" s="319">
        <v>2949.7999999999997</v>
      </c>
      <c r="AH36" s="319">
        <v>4231.8</v>
      </c>
      <c r="AI36" s="319">
        <v>630.6</v>
      </c>
      <c r="AJ36" s="319">
        <v>4233.0999999999995</v>
      </c>
      <c r="AK36" s="319">
        <v>3529.6900000000005</v>
      </c>
      <c r="AL36" s="319">
        <v>14928.500000000002</v>
      </c>
      <c r="AM36" s="319">
        <f t="shared" si="4"/>
        <v>56840.09</v>
      </c>
      <c r="AN36" s="319">
        <f t="shared" si="5"/>
        <v>59138.289999999994</v>
      </c>
      <c r="AO36" s="319">
        <f t="shared" si="6"/>
        <v>-28910.885424999993</v>
      </c>
      <c r="AP36" s="333" t="s">
        <v>609</v>
      </c>
    </row>
    <row r="37" spans="1:42" s="289" customFormat="1" ht="12" customHeight="1">
      <c r="A37" s="176" t="s">
        <v>602</v>
      </c>
      <c r="B37" s="254">
        <v>238</v>
      </c>
      <c r="C37" s="254">
        <v>736</v>
      </c>
      <c r="D37" s="254">
        <v>1</v>
      </c>
      <c r="E37" s="254">
        <v>94</v>
      </c>
      <c r="F37" s="254">
        <f>82+341</f>
        <v>423</v>
      </c>
      <c r="G37" s="254">
        <v>25734</v>
      </c>
      <c r="H37" s="254">
        <v>0</v>
      </c>
      <c r="I37" s="254">
        <v>0</v>
      </c>
      <c r="J37" s="254">
        <v>0</v>
      </c>
      <c r="K37" s="254">
        <f t="shared" si="2"/>
        <v>8813.3545999999988</v>
      </c>
      <c r="L37" s="254">
        <f>30708+62.137*85.8</f>
        <v>36039.354599999999</v>
      </c>
      <c r="M37" s="254">
        <v>951.9</v>
      </c>
      <c r="N37" s="254">
        <v>2279.9</v>
      </c>
      <c r="O37" s="254">
        <f t="shared" si="3"/>
        <v>3231.8</v>
      </c>
      <c r="P37" s="254">
        <v>262</v>
      </c>
      <c r="Q37" s="254">
        <v>210.4</v>
      </c>
      <c r="R37" s="254">
        <v>1907.5</v>
      </c>
      <c r="S37" s="254">
        <v>1814.4</v>
      </c>
      <c r="T37" s="254">
        <v>239.4</v>
      </c>
      <c r="U37" s="228" t="s">
        <v>602</v>
      </c>
      <c r="V37" s="175" t="s">
        <v>602</v>
      </c>
      <c r="W37" s="254">
        <v>1180.6000000000001</v>
      </c>
      <c r="X37" s="254">
        <v>568.40000000000009</v>
      </c>
      <c r="Y37" s="254">
        <v>0</v>
      </c>
      <c r="Z37" s="254">
        <v>6912.8</v>
      </c>
      <c r="AA37" s="254">
        <v>2471.1999999999998</v>
      </c>
      <c r="AB37" s="254">
        <v>115.6</v>
      </c>
      <c r="AC37" s="254">
        <v>1870.5</v>
      </c>
      <c r="AD37" s="254">
        <v>723.30000000000007</v>
      </c>
      <c r="AE37" s="254">
        <v>2875.6000000000004</v>
      </c>
      <c r="AF37" s="254">
        <v>3036.7000000000003</v>
      </c>
      <c r="AG37" s="254">
        <v>3293</v>
      </c>
      <c r="AH37" s="254">
        <v>4932.1000000000004</v>
      </c>
      <c r="AI37" s="254">
        <v>849.09999999999991</v>
      </c>
      <c r="AJ37" s="254">
        <v>5043.7999999999993</v>
      </c>
      <c r="AK37" s="254">
        <v>4894</v>
      </c>
      <c r="AL37" s="254">
        <v>19144.600000000013</v>
      </c>
      <c r="AM37" s="254">
        <f t="shared" si="4"/>
        <v>62345.000000000007</v>
      </c>
      <c r="AN37" s="254">
        <f t="shared" si="5"/>
        <v>65576.800000000003</v>
      </c>
      <c r="AO37" s="254">
        <f t="shared" si="6"/>
        <v>-29537.445400000004</v>
      </c>
      <c r="AP37" s="228" t="s">
        <v>602</v>
      </c>
    </row>
    <row r="38" spans="1:42" s="289" customFormat="1" ht="12" customHeight="1">
      <c r="A38" s="341" t="s">
        <v>610</v>
      </c>
      <c r="B38" s="319">
        <v>166</v>
      </c>
      <c r="C38" s="319">
        <v>778</v>
      </c>
      <c r="D38" s="319">
        <v>2</v>
      </c>
      <c r="E38" s="319">
        <v>110</v>
      </c>
      <c r="F38" s="319">
        <f>85+286</f>
        <v>371</v>
      </c>
      <c r="G38" s="319">
        <v>23579</v>
      </c>
      <c r="H38" s="319">
        <v>0</v>
      </c>
      <c r="I38" s="319">
        <v>0</v>
      </c>
      <c r="J38" s="319">
        <v>0</v>
      </c>
      <c r="K38" s="319">
        <f t="shared" si="2"/>
        <v>8331.1356000000014</v>
      </c>
      <c r="L38" s="319">
        <f>28008+85.9538*62</f>
        <v>33337.135600000001</v>
      </c>
      <c r="M38" s="319">
        <v>249.6</v>
      </c>
      <c r="N38" s="319">
        <v>1483.5</v>
      </c>
      <c r="O38" s="319">
        <f t="shared" si="3"/>
        <v>1733.1</v>
      </c>
      <c r="P38" s="319">
        <v>272.8</v>
      </c>
      <c r="Q38" s="319">
        <v>223.9</v>
      </c>
      <c r="R38" s="319">
        <v>712.6</v>
      </c>
      <c r="S38" s="319">
        <v>1502.2</v>
      </c>
      <c r="T38" s="319">
        <v>741.59999999999991</v>
      </c>
      <c r="U38" s="333" t="s">
        <v>610</v>
      </c>
      <c r="V38" s="332" t="s">
        <v>610</v>
      </c>
      <c r="W38" s="319">
        <v>893.30000000000007</v>
      </c>
      <c r="X38" s="319">
        <v>592.70000000000005</v>
      </c>
      <c r="Y38" s="319">
        <v>967.59999999999991</v>
      </c>
      <c r="Z38" s="319">
        <v>3746.2</v>
      </c>
      <c r="AA38" s="319">
        <v>2357.3000000000002</v>
      </c>
      <c r="AB38" s="319">
        <v>183.20000000000002</v>
      </c>
      <c r="AC38" s="319">
        <v>6067.9</v>
      </c>
      <c r="AD38" s="319">
        <v>701</v>
      </c>
      <c r="AE38" s="319">
        <v>2554.4</v>
      </c>
      <c r="AF38" s="319">
        <v>3417.1</v>
      </c>
      <c r="AG38" s="319">
        <v>3758.1</v>
      </c>
      <c r="AH38" s="319">
        <v>5172.3</v>
      </c>
      <c r="AI38" s="319">
        <v>851.30000000000007</v>
      </c>
      <c r="AJ38" s="319">
        <v>4238.7</v>
      </c>
      <c r="AK38" s="319">
        <v>2907.49</v>
      </c>
      <c r="AL38" s="319">
        <v>15406.199999999993</v>
      </c>
      <c r="AM38" s="319">
        <f t="shared" si="4"/>
        <v>57267.889999999978</v>
      </c>
      <c r="AN38" s="319">
        <f t="shared" si="5"/>
        <v>59000.989999999976</v>
      </c>
      <c r="AO38" s="319">
        <f t="shared" si="6"/>
        <v>-25663.854399999975</v>
      </c>
      <c r="AP38" s="333" t="s">
        <v>610</v>
      </c>
    </row>
    <row r="39" spans="1:42" s="289" customFormat="1" ht="12" customHeight="1">
      <c r="A39" s="176" t="s">
        <v>611</v>
      </c>
      <c r="B39" s="254">
        <v>90</v>
      </c>
      <c r="C39" s="254">
        <v>642</v>
      </c>
      <c r="D39" s="254">
        <v>1</v>
      </c>
      <c r="E39" s="254">
        <v>82</v>
      </c>
      <c r="F39" s="254">
        <f>68+192</f>
        <v>260</v>
      </c>
      <c r="G39" s="254">
        <v>23130</v>
      </c>
      <c r="H39" s="254">
        <v>0</v>
      </c>
      <c r="I39" s="254">
        <v>0</v>
      </c>
      <c r="J39" s="254">
        <v>0</v>
      </c>
      <c r="K39" s="254">
        <f t="shared" si="2"/>
        <v>7479.0139999999992</v>
      </c>
      <c r="L39" s="254">
        <f>26795+86*56.849</f>
        <v>31684.013999999999</v>
      </c>
      <c r="M39" s="254">
        <v>210.1</v>
      </c>
      <c r="N39" s="254">
        <v>1825.9</v>
      </c>
      <c r="O39" s="254">
        <f t="shared" si="3"/>
        <v>2036</v>
      </c>
      <c r="P39" s="254">
        <v>242.1</v>
      </c>
      <c r="Q39" s="254">
        <v>204.9</v>
      </c>
      <c r="R39" s="254">
        <v>804.8</v>
      </c>
      <c r="S39" s="254">
        <v>1722.6999999999998</v>
      </c>
      <c r="T39" s="254">
        <v>932</v>
      </c>
      <c r="U39" s="228" t="s">
        <v>611</v>
      </c>
      <c r="V39" s="175" t="s">
        <v>611</v>
      </c>
      <c r="W39" s="254">
        <v>1602.4</v>
      </c>
      <c r="X39" s="254">
        <v>727</v>
      </c>
      <c r="Y39" s="254">
        <v>1080.8</v>
      </c>
      <c r="Z39" s="254">
        <v>5305.6</v>
      </c>
      <c r="AA39" s="254">
        <v>2115.3000000000002</v>
      </c>
      <c r="AB39" s="254">
        <v>104.7</v>
      </c>
      <c r="AC39" s="254">
        <v>2300.1999999999998</v>
      </c>
      <c r="AD39" s="254">
        <v>643.6</v>
      </c>
      <c r="AE39" s="254">
        <v>2326.6999999999998</v>
      </c>
      <c r="AF39" s="254">
        <v>3656.7000000000003</v>
      </c>
      <c r="AG39" s="254">
        <v>3323.8999999999996</v>
      </c>
      <c r="AH39" s="254">
        <v>4874.6000000000004</v>
      </c>
      <c r="AI39" s="254">
        <v>798.30000000000007</v>
      </c>
      <c r="AJ39" s="254">
        <v>4559.5</v>
      </c>
      <c r="AK39" s="254">
        <v>2346.16</v>
      </c>
      <c r="AL39" s="254">
        <v>14119.599999999993</v>
      </c>
      <c r="AM39" s="254">
        <f t="shared" si="4"/>
        <v>53791.56</v>
      </c>
      <c r="AN39" s="254">
        <f t="shared" si="5"/>
        <v>55827.56</v>
      </c>
      <c r="AO39" s="254">
        <f t="shared" si="6"/>
        <v>-24143.545999999998</v>
      </c>
      <c r="AP39" s="228" t="s">
        <v>611</v>
      </c>
    </row>
    <row r="40" spans="1:42" s="289" customFormat="1" ht="12" customHeight="1">
      <c r="A40" s="341" t="s">
        <v>603</v>
      </c>
      <c r="B40" s="319">
        <v>112</v>
      </c>
      <c r="C40" s="319">
        <v>766</v>
      </c>
      <c r="D40" s="319">
        <v>1</v>
      </c>
      <c r="E40" s="319">
        <v>107</v>
      </c>
      <c r="F40" s="319">
        <f>170+49</f>
        <v>219</v>
      </c>
      <c r="G40" s="319">
        <v>27502</v>
      </c>
      <c r="H40" s="319">
        <v>0</v>
      </c>
      <c r="I40" s="319">
        <v>0</v>
      </c>
      <c r="J40" s="319">
        <v>0</v>
      </c>
      <c r="K40" s="319">
        <f t="shared" ref="K40:K48" si="9">L40-SUM(B40:J40)</f>
        <v>3651.8198043000011</v>
      </c>
      <c r="L40" s="319">
        <f>26795+86.0593*64.651</f>
        <v>32358.819804300001</v>
      </c>
      <c r="M40" s="319">
        <v>234.9</v>
      </c>
      <c r="N40" s="319">
        <v>1924.8000000000002</v>
      </c>
      <c r="O40" s="319">
        <f t="shared" si="3"/>
        <v>2159.7000000000003</v>
      </c>
      <c r="P40" s="319">
        <v>317.10000000000002</v>
      </c>
      <c r="Q40" s="319">
        <v>276.60000000000002</v>
      </c>
      <c r="R40" s="319">
        <v>1252</v>
      </c>
      <c r="S40" s="319">
        <v>2593.1</v>
      </c>
      <c r="T40" s="319">
        <v>692.3</v>
      </c>
      <c r="U40" s="333" t="s">
        <v>603</v>
      </c>
      <c r="V40" s="332" t="s">
        <v>603</v>
      </c>
      <c r="W40" s="319">
        <v>877.80000000000007</v>
      </c>
      <c r="X40" s="319">
        <v>608.6</v>
      </c>
      <c r="Y40" s="319">
        <v>485.7</v>
      </c>
      <c r="Z40" s="319">
        <v>10983.3</v>
      </c>
      <c r="AA40" s="319">
        <v>2746.9</v>
      </c>
      <c r="AB40" s="319">
        <v>151.30000000000001</v>
      </c>
      <c r="AC40" s="319">
        <v>1578</v>
      </c>
      <c r="AD40" s="319">
        <v>754.8</v>
      </c>
      <c r="AE40" s="319">
        <v>2945.7</v>
      </c>
      <c r="AF40" s="319">
        <v>4230.2</v>
      </c>
      <c r="AG40" s="319">
        <v>3556.6</v>
      </c>
      <c r="AH40" s="319">
        <v>5240.8999999999996</v>
      </c>
      <c r="AI40" s="319">
        <v>1006.5999999999999</v>
      </c>
      <c r="AJ40" s="319">
        <v>5160.2999999999993</v>
      </c>
      <c r="AK40" s="319">
        <v>2598.77</v>
      </c>
      <c r="AL40" s="319">
        <v>15442.7</v>
      </c>
      <c r="AM40" s="319">
        <f t="shared" si="4"/>
        <v>63499.27</v>
      </c>
      <c r="AN40" s="319">
        <f t="shared" si="5"/>
        <v>65658.97</v>
      </c>
      <c r="AO40" s="319">
        <f t="shared" si="6"/>
        <v>-33300.1501957</v>
      </c>
      <c r="AP40" s="333" t="s">
        <v>603</v>
      </c>
    </row>
    <row r="41" spans="1:42" s="289" customFormat="1" ht="12" customHeight="1">
      <c r="A41" s="176" t="s">
        <v>612</v>
      </c>
      <c r="B41" s="254">
        <v>104</v>
      </c>
      <c r="C41" s="254">
        <v>545</v>
      </c>
      <c r="D41" s="254">
        <v>1</v>
      </c>
      <c r="E41" s="254">
        <v>91</v>
      </c>
      <c r="F41" s="254">
        <f>70+160</f>
        <v>230</v>
      </c>
      <c r="G41" s="254">
        <v>23971</v>
      </c>
      <c r="H41" s="254">
        <v>0</v>
      </c>
      <c r="I41" s="254">
        <v>0</v>
      </c>
      <c r="J41" s="254">
        <v>0</v>
      </c>
      <c r="K41" s="254">
        <f t="shared" si="9"/>
        <v>8557.7742776000014</v>
      </c>
      <c r="L41" s="254">
        <f>28118+62.412*86.2298</f>
        <v>33499.774277600001</v>
      </c>
      <c r="M41" s="254">
        <v>108.9</v>
      </c>
      <c r="N41" s="254">
        <v>1426.9</v>
      </c>
      <c r="O41" s="254">
        <f t="shared" si="3"/>
        <v>1535.8000000000002</v>
      </c>
      <c r="P41" s="254">
        <v>334.2</v>
      </c>
      <c r="Q41" s="254">
        <v>276.8</v>
      </c>
      <c r="R41" s="254">
        <v>657.7</v>
      </c>
      <c r="S41" s="254">
        <v>1770.6</v>
      </c>
      <c r="T41" s="254">
        <v>619.4</v>
      </c>
      <c r="U41" s="228" t="s">
        <v>612</v>
      </c>
      <c r="V41" s="175" t="s">
        <v>612</v>
      </c>
      <c r="W41" s="254">
        <v>546.20000000000005</v>
      </c>
      <c r="X41" s="254">
        <v>761.4</v>
      </c>
      <c r="Y41" s="254">
        <v>719.4</v>
      </c>
      <c r="Z41" s="254">
        <v>13232.3</v>
      </c>
      <c r="AA41" s="254">
        <v>2405.3000000000002</v>
      </c>
      <c r="AB41" s="254">
        <v>132.9</v>
      </c>
      <c r="AC41" s="254">
        <v>1053.9000000000001</v>
      </c>
      <c r="AD41" s="254">
        <v>705.1</v>
      </c>
      <c r="AE41" s="254">
        <v>2681.6000000000004</v>
      </c>
      <c r="AF41" s="254">
        <v>3118.3</v>
      </c>
      <c r="AG41" s="254">
        <v>3188.9</v>
      </c>
      <c r="AH41" s="254">
        <v>4660</v>
      </c>
      <c r="AI41" s="254">
        <v>929.7</v>
      </c>
      <c r="AJ41" s="254">
        <v>4258.7</v>
      </c>
      <c r="AK41" s="254">
        <v>2754.72</v>
      </c>
      <c r="AL41" s="254">
        <v>13663.800000000003</v>
      </c>
      <c r="AM41" s="254">
        <f t="shared" si="4"/>
        <v>58470.92</v>
      </c>
      <c r="AN41" s="254">
        <f t="shared" si="5"/>
        <v>60006.720000000001</v>
      </c>
      <c r="AO41" s="254">
        <f t="shared" si="6"/>
        <v>-26506.9457224</v>
      </c>
      <c r="AP41" s="228" t="s">
        <v>612</v>
      </c>
    </row>
    <row r="42" spans="1:42" s="289" customFormat="1" ht="12" customHeight="1">
      <c r="A42" s="341" t="s">
        <v>613</v>
      </c>
      <c r="B42" s="319">
        <v>128</v>
      </c>
      <c r="C42" s="319">
        <v>486</v>
      </c>
      <c r="D42" s="319">
        <v>1</v>
      </c>
      <c r="E42" s="319">
        <v>86</v>
      </c>
      <c r="F42" s="319">
        <f>60+131</f>
        <v>191</v>
      </c>
      <c r="G42" s="319">
        <v>25878</v>
      </c>
      <c r="H42" s="319">
        <v>0</v>
      </c>
      <c r="I42" s="319">
        <v>0</v>
      </c>
      <c r="J42" s="319">
        <v>0</v>
      </c>
      <c r="K42" s="319">
        <f t="shared" si="9"/>
        <v>7226.9833224999966</v>
      </c>
      <c r="L42" s="319">
        <f>29579+50.675*87.1827</f>
        <v>33996.983322499997</v>
      </c>
      <c r="M42" s="319">
        <v>83.5</v>
      </c>
      <c r="N42" s="319">
        <v>1269</v>
      </c>
      <c r="O42" s="319">
        <f t="shared" si="3"/>
        <v>1352.5</v>
      </c>
      <c r="P42" s="319">
        <v>380.29999999999995</v>
      </c>
      <c r="Q42" s="319">
        <v>278</v>
      </c>
      <c r="R42" s="319">
        <v>1128.2</v>
      </c>
      <c r="S42" s="319">
        <v>2151.1</v>
      </c>
      <c r="T42" s="319">
        <v>527</v>
      </c>
      <c r="U42" s="333" t="s">
        <v>613</v>
      </c>
      <c r="V42" s="332" t="s">
        <v>613</v>
      </c>
      <c r="W42" s="319">
        <v>1515.3000000000002</v>
      </c>
      <c r="X42" s="319">
        <v>563.20000000000005</v>
      </c>
      <c r="Y42" s="319">
        <v>0</v>
      </c>
      <c r="Z42" s="319">
        <v>11478.4</v>
      </c>
      <c r="AA42" s="319">
        <v>2323.1000000000004</v>
      </c>
      <c r="AB42" s="319">
        <v>125.2</v>
      </c>
      <c r="AC42" s="319">
        <v>1422.8</v>
      </c>
      <c r="AD42" s="319">
        <v>722.5</v>
      </c>
      <c r="AE42" s="319">
        <v>2806.7</v>
      </c>
      <c r="AF42" s="319">
        <v>2937.1</v>
      </c>
      <c r="AG42" s="319">
        <v>3457.4</v>
      </c>
      <c r="AH42" s="319">
        <v>5166.2999999999993</v>
      </c>
      <c r="AI42" s="319">
        <v>938.5</v>
      </c>
      <c r="AJ42" s="319">
        <v>4786.2</v>
      </c>
      <c r="AK42" s="319">
        <v>2568.7600000000002</v>
      </c>
      <c r="AL42" s="319">
        <v>13365.299999999996</v>
      </c>
      <c r="AM42" s="319">
        <f t="shared" si="4"/>
        <v>58641.359999999993</v>
      </c>
      <c r="AN42" s="319">
        <f t="shared" si="5"/>
        <v>59993.859999999993</v>
      </c>
      <c r="AO42" s="319">
        <f t="shared" si="6"/>
        <v>-25996.876677499997</v>
      </c>
      <c r="AP42" s="333" t="s">
        <v>613</v>
      </c>
    </row>
    <row r="43" spans="1:42" s="289" customFormat="1" ht="12" customHeight="1">
      <c r="A43" s="176" t="s">
        <v>604</v>
      </c>
      <c r="B43" s="254">
        <v>136</v>
      </c>
      <c r="C43" s="254">
        <v>581</v>
      </c>
      <c r="D43" s="254">
        <v>2</v>
      </c>
      <c r="E43" s="254">
        <v>92</v>
      </c>
      <c r="F43" s="254">
        <f>112+188</f>
        <v>300</v>
      </c>
      <c r="G43" s="254">
        <v>30671</v>
      </c>
      <c r="H43" s="254">
        <v>0</v>
      </c>
      <c r="I43" s="254">
        <v>0</v>
      </c>
      <c r="J43" s="254">
        <v>0</v>
      </c>
      <c r="K43" s="254">
        <f t="shared" si="9"/>
        <v>10298.1121222</v>
      </c>
      <c r="L43" s="254">
        <f>35396+72.626*92.0347</f>
        <v>42080.1121222</v>
      </c>
      <c r="M43" s="254">
        <v>22.6</v>
      </c>
      <c r="N43" s="254">
        <v>1086.3</v>
      </c>
      <c r="O43" s="254">
        <f t="shared" si="3"/>
        <v>1108.8999999999999</v>
      </c>
      <c r="P43" s="254">
        <v>237.60000000000002</v>
      </c>
      <c r="Q43" s="254">
        <v>352</v>
      </c>
      <c r="R43" s="254">
        <v>2249.6999999999998</v>
      </c>
      <c r="S43" s="254">
        <v>1882.6999999999998</v>
      </c>
      <c r="T43" s="254">
        <v>380.79999999999995</v>
      </c>
      <c r="U43" s="228" t="s">
        <v>604</v>
      </c>
      <c r="V43" s="175" t="s">
        <v>604</v>
      </c>
      <c r="W43" s="254">
        <v>606.5</v>
      </c>
      <c r="X43" s="254">
        <v>603.1</v>
      </c>
      <c r="Y43" s="254">
        <v>2150.5</v>
      </c>
      <c r="Z43" s="254">
        <v>11966.1</v>
      </c>
      <c r="AA43" s="254">
        <v>2941.3</v>
      </c>
      <c r="AB43" s="254">
        <v>168.9</v>
      </c>
      <c r="AC43" s="254">
        <v>2324</v>
      </c>
      <c r="AD43" s="254">
        <v>808.5</v>
      </c>
      <c r="AE43" s="254">
        <v>3207.8</v>
      </c>
      <c r="AF43" s="254">
        <v>3170.7</v>
      </c>
      <c r="AG43" s="254">
        <v>3373.3999999999996</v>
      </c>
      <c r="AH43" s="254">
        <v>5179.2</v>
      </c>
      <c r="AI43" s="254">
        <v>923.59999999999991</v>
      </c>
      <c r="AJ43" s="254">
        <v>5853.3</v>
      </c>
      <c r="AK43" s="254">
        <v>3545.61</v>
      </c>
      <c r="AL43" s="254">
        <v>17890.799999999996</v>
      </c>
      <c r="AM43" s="254">
        <f t="shared" si="4"/>
        <v>69816.11</v>
      </c>
      <c r="AN43" s="254">
        <f t="shared" si="5"/>
        <v>70925.009999999995</v>
      </c>
      <c r="AO43" s="254">
        <f t="shared" si="6"/>
        <v>-28844.897877799995</v>
      </c>
      <c r="AP43" s="228" t="s">
        <v>604</v>
      </c>
    </row>
    <row r="44" spans="1:42" s="289" customFormat="1" ht="12" customHeight="1">
      <c r="A44" s="342" t="s">
        <v>2482</v>
      </c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35" t="s">
        <v>2482</v>
      </c>
      <c r="V44" s="334" t="s">
        <v>2482</v>
      </c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35" t="s">
        <v>2482</v>
      </c>
    </row>
    <row r="45" spans="1:42" s="289" customFormat="1" ht="12" customHeight="1">
      <c r="A45" s="176" t="s">
        <v>606</v>
      </c>
      <c r="B45" s="254">
        <v>207</v>
      </c>
      <c r="C45" s="254">
        <v>444</v>
      </c>
      <c r="D45" s="254">
        <v>4</v>
      </c>
      <c r="E45" s="254">
        <v>82</v>
      </c>
      <c r="F45" s="254">
        <f>48+204</f>
        <v>252</v>
      </c>
      <c r="G45" s="254">
        <v>26644</v>
      </c>
      <c r="H45" s="254">
        <v>0</v>
      </c>
      <c r="I45" s="254">
        <v>0</v>
      </c>
      <c r="J45" s="254">
        <v>0</v>
      </c>
      <c r="K45" s="254">
        <f t="shared" si="9"/>
        <v>8162.0618415999998</v>
      </c>
      <c r="L45" s="254">
        <f>31308+47.792*93.8873</f>
        <v>35795.0618416</v>
      </c>
      <c r="M45" s="254">
        <v>129.5</v>
      </c>
      <c r="N45" s="254">
        <v>879.9</v>
      </c>
      <c r="O45" s="254">
        <f t="shared" si="3"/>
        <v>1009.4</v>
      </c>
      <c r="P45" s="254">
        <v>297.5</v>
      </c>
      <c r="Q45" s="254">
        <v>310.5</v>
      </c>
      <c r="R45" s="254">
        <v>2485.8000000000002</v>
      </c>
      <c r="S45" s="254">
        <v>4133</v>
      </c>
      <c r="T45" s="254">
        <v>512.29999999999995</v>
      </c>
      <c r="U45" s="228" t="s">
        <v>606</v>
      </c>
      <c r="V45" s="175" t="s">
        <v>606</v>
      </c>
      <c r="W45" s="254">
        <v>524.1</v>
      </c>
      <c r="X45" s="254">
        <v>583.90000000000009</v>
      </c>
      <c r="Y45" s="254">
        <v>1213</v>
      </c>
      <c r="Z45" s="254">
        <v>14372.9</v>
      </c>
      <c r="AA45" s="254">
        <v>2721.3</v>
      </c>
      <c r="AB45" s="254">
        <v>128.30000000000001</v>
      </c>
      <c r="AC45" s="254">
        <v>1171.4000000000001</v>
      </c>
      <c r="AD45" s="254">
        <v>715.8</v>
      </c>
      <c r="AE45" s="254">
        <v>2722.5</v>
      </c>
      <c r="AF45" s="254">
        <v>3697.5</v>
      </c>
      <c r="AG45" s="254">
        <v>3053.4</v>
      </c>
      <c r="AH45" s="254">
        <v>4681</v>
      </c>
      <c r="AI45" s="254">
        <v>838.6</v>
      </c>
      <c r="AJ45" s="254">
        <v>4655.3</v>
      </c>
      <c r="AK45" s="254">
        <v>2661.39</v>
      </c>
      <c r="AL45" s="254">
        <v>14024.8</v>
      </c>
      <c r="AM45" s="254">
        <f t="shared" si="4"/>
        <v>65504.29</v>
      </c>
      <c r="AN45" s="254">
        <f t="shared" si="5"/>
        <v>66513.69</v>
      </c>
      <c r="AO45" s="254">
        <f t="shared" si="6"/>
        <v>-30718.628158400003</v>
      </c>
      <c r="AP45" s="228" t="s">
        <v>606</v>
      </c>
    </row>
    <row r="46" spans="1:42" s="289" customFormat="1" ht="12" customHeight="1">
      <c r="A46" s="341" t="s">
        <v>115</v>
      </c>
      <c r="B46" s="319">
        <v>190</v>
      </c>
      <c r="C46" s="319">
        <v>559</v>
      </c>
      <c r="D46" s="319">
        <v>2</v>
      </c>
      <c r="E46" s="319">
        <v>110</v>
      </c>
      <c r="F46" s="319">
        <f>43+297</f>
        <v>340</v>
      </c>
      <c r="G46" s="319">
        <v>31988</v>
      </c>
      <c r="H46" s="319">
        <v>0</v>
      </c>
      <c r="I46" s="319">
        <v>0</v>
      </c>
      <c r="J46" s="319">
        <v>0</v>
      </c>
      <c r="K46" s="319">
        <f t="shared" si="9"/>
        <v>9670.9951447999993</v>
      </c>
      <c r="L46" s="319">
        <f>36548.0135+94.9056*66.508</f>
        <v>42859.995144799999</v>
      </c>
      <c r="M46" s="319">
        <v>191.5</v>
      </c>
      <c r="N46" s="319">
        <v>613.09999999999991</v>
      </c>
      <c r="O46" s="319">
        <f t="shared" si="3"/>
        <v>804.59999999999991</v>
      </c>
      <c r="P46" s="319">
        <v>236.60000000000002</v>
      </c>
      <c r="Q46" s="319">
        <v>229.4</v>
      </c>
      <c r="R46" s="319">
        <v>1366.6000000000001</v>
      </c>
      <c r="S46" s="319">
        <v>3340.4</v>
      </c>
      <c r="T46" s="319">
        <v>769.7</v>
      </c>
      <c r="U46" s="333" t="s">
        <v>115</v>
      </c>
      <c r="V46" s="332" t="s">
        <v>115</v>
      </c>
      <c r="W46" s="319">
        <v>606.70000000000005</v>
      </c>
      <c r="X46" s="319">
        <v>559</v>
      </c>
      <c r="Y46" s="319">
        <v>780.5</v>
      </c>
      <c r="Z46" s="319">
        <v>11237.1</v>
      </c>
      <c r="AA46" s="319">
        <v>2802.3999999999996</v>
      </c>
      <c r="AB46" s="319">
        <v>163.5</v>
      </c>
      <c r="AC46" s="319">
        <v>5448.7999999999993</v>
      </c>
      <c r="AD46" s="319">
        <v>793.2</v>
      </c>
      <c r="AE46" s="319">
        <v>2857.3</v>
      </c>
      <c r="AF46" s="319">
        <v>4318</v>
      </c>
      <c r="AG46" s="319">
        <v>3173.1</v>
      </c>
      <c r="AH46" s="319">
        <v>5450.5999999999995</v>
      </c>
      <c r="AI46" s="319">
        <v>942.09999999999991</v>
      </c>
      <c r="AJ46" s="319">
        <v>5404.5999999999995</v>
      </c>
      <c r="AK46" s="319">
        <v>2987.8</v>
      </c>
      <c r="AL46" s="319">
        <v>15063.699999999993</v>
      </c>
      <c r="AM46" s="319">
        <f t="shared" si="4"/>
        <v>68531.099999999991</v>
      </c>
      <c r="AN46" s="319">
        <f t="shared" si="5"/>
        <v>69335.7</v>
      </c>
      <c r="AO46" s="319">
        <f t="shared" si="6"/>
        <v>-26475.704855199998</v>
      </c>
      <c r="AP46" s="333" t="s">
        <v>115</v>
      </c>
    </row>
    <row r="47" spans="1:42" s="289" customFormat="1" ht="12" customHeight="1">
      <c r="A47" s="176" t="s">
        <v>601</v>
      </c>
      <c r="B47" s="254">
        <v>143</v>
      </c>
      <c r="C47" s="254">
        <v>642</v>
      </c>
      <c r="D47" s="254">
        <v>0</v>
      </c>
      <c r="E47" s="254">
        <v>102</v>
      </c>
      <c r="F47" s="254">
        <f>89+239</f>
        <v>328</v>
      </c>
      <c r="G47" s="254">
        <v>30562</v>
      </c>
      <c r="H47" s="254">
        <v>0</v>
      </c>
      <c r="I47" s="254">
        <v>0</v>
      </c>
      <c r="J47" s="254">
        <v>0</v>
      </c>
      <c r="K47" s="254">
        <f t="shared" si="9"/>
        <v>8491.960484119998</v>
      </c>
      <c r="L47" s="254">
        <f>35061+95.6154*54.4678</f>
        <v>40268.960484119998</v>
      </c>
      <c r="M47" s="254">
        <v>390.1</v>
      </c>
      <c r="N47" s="254">
        <v>1145.8</v>
      </c>
      <c r="O47" s="254">
        <f t="shared" si="3"/>
        <v>1535.9</v>
      </c>
      <c r="P47" s="254">
        <v>449.8</v>
      </c>
      <c r="Q47" s="254">
        <v>185.8</v>
      </c>
      <c r="R47" s="254">
        <v>923.19999999999993</v>
      </c>
      <c r="S47" s="254">
        <v>2491.1</v>
      </c>
      <c r="T47" s="254">
        <v>129.5</v>
      </c>
      <c r="U47" s="228" t="s">
        <v>601</v>
      </c>
      <c r="V47" s="175" t="s">
        <v>601</v>
      </c>
      <c r="W47" s="254">
        <v>367.8</v>
      </c>
      <c r="X47" s="254">
        <v>804.09999999999991</v>
      </c>
      <c r="Y47" s="254">
        <v>742.2</v>
      </c>
      <c r="Z47" s="254">
        <v>9236.1</v>
      </c>
      <c r="AA47" s="254">
        <v>2274</v>
      </c>
      <c r="AB47" s="254">
        <v>144.5</v>
      </c>
      <c r="AC47" s="254">
        <v>6009.4</v>
      </c>
      <c r="AD47" s="254">
        <v>659.19999999999993</v>
      </c>
      <c r="AE47" s="254">
        <v>2483.6</v>
      </c>
      <c r="AF47" s="254">
        <v>4550.5</v>
      </c>
      <c r="AG47" s="254">
        <v>2630.5</v>
      </c>
      <c r="AH47" s="254">
        <v>4989.8</v>
      </c>
      <c r="AI47" s="254">
        <v>852.6</v>
      </c>
      <c r="AJ47" s="254">
        <v>4533.5</v>
      </c>
      <c r="AK47" s="254">
        <v>2813.59</v>
      </c>
      <c r="AL47" s="254">
        <v>13913.400000000001</v>
      </c>
      <c r="AM47" s="254">
        <f t="shared" si="4"/>
        <v>61184.19</v>
      </c>
      <c r="AN47" s="254">
        <f t="shared" si="5"/>
        <v>62720.090000000004</v>
      </c>
      <c r="AO47" s="254">
        <f t="shared" si="6"/>
        <v>-22451.129515880006</v>
      </c>
      <c r="AP47" s="228" t="s">
        <v>601</v>
      </c>
    </row>
    <row r="48" spans="1:42" s="289" customFormat="1" ht="12" customHeight="1" thickBot="1">
      <c r="A48" s="1694" t="s">
        <v>608</v>
      </c>
      <c r="B48" s="1695">
        <v>152</v>
      </c>
      <c r="C48" s="1695">
        <v>675</v>
      </c>
      <c r="D48" s="1695">
        <v>1</v>
      </c>
      <c r="E48" s="1695">
        <v>119</v>
      </c>
      <c r="F48" s="1695">
        <f>101+236</f>
        <v>337</v>
      </c>
      <c r="G48" s="1695">
        <v>28166</v>
      </c>
      <c r="H48" s="1695">
        <v>0</v>
      </c>
      <c r="I48" s="1695">
        <v>0</v>
      </c>
      <c r="J48" s="1695">
        <v>0</v>
      </c>
      <c r="K48" s="1695">
        <f t="shared" si="9"/>
        <v>8880.0580483800004</v>
      </c>
      <c r="L48" s="1695">
        <f>32809+96.6154*57.1447</f>
        <v>38330.05804838</v>
      </c>
      <c r="M48" s="1695">
        <v>495.8</v>
      </c>
      <c r="N48" s="1695">
        <v>1375.8</v>
      </c>
      <c r="O48" s="1695">
        <f t="shared" si="3"/>
        <v>1871.6</v>
      </c>
      <c r="P48" s="1695">
        <v>340.4</v>
      </c>
      <c r="Q48" s="1695">
        <v>231.9</v>
      </c>
      <c r="R48" s="1695">
        <v>595.5</v>
      </c>
      <c r="S48" s="1695">
        <v>3304.2</v>
      </c>
      <c r="T48" s="1695">
        <v>868.6</v>
      </c>
      <c r="U48" s="1696" t="s">
        <v>608</v>
      </c>
      <c r="V48" s="1682" t="s">
        <v>608</v>
      </c>
      <c r="W48" s="1695">
        <v>402.1</v>
      </c>
      <c r="X48" s="1695">
        <v>798.8</v>
      </c>
      <c r="Y48" s="1695">
        <v>1469</v>
      </c>
      <c r="Z48" s="1695">
        <v>10464.300000000001</v>
      </c>
      <c r="AA48" s="1695">
        <v>2689.3</v>
      </c>
      <c r="AB48" s="1695">
        <v>147.89999999999998</v>
      </c>
      <c r="AC48" s="1695">
        <v>4404.7999999999993</v>
      </c>
      <c r="AD48" s="1695">
        <v>622.29999999999995</v>
      </c>
      <c r="AE48" s="1695">
        <v>2149.1000000000004</v>
      </c>
      <c r="AF48" s="1695">
        <v>4124.2</v>
      </c>
      <c r="AG48" s="1695">
        <v>2183.2000000000003</v>
      </c>
      <c r="AH48" s="1695">
        <v>4462.6000000000004</v>
      </c>
      <c r="AI48" s="1695">
        <v>723.59999999999991</v>
      </c>
      <c r="AJ48" s="1695">
        <v>3943.8999999999996</v>
      </c>
      <c r="AK48" s="1695">
        <v>2894.6099999999997</v>
      </c>
      <c r="AL48" s="1695">
        <v>13258.999999999993</v>
      </c>
      <c r="AM48" s="1695">
        <f t="shared" si="4"/>
        <v>60079.30999999999</v>
      </c>
      <c r="AN48" s="1695">
        <f>O48+AM48</f>
        <v>61950.909999999989</v>
      </c>
      <c r="AO48" s="1695">
        <f t="shared" si="6"/>
        <v>-23620.851951619989</v>
      </c>
      <c r="AP48" s="1696" t="s">
        <v>608</v>
      </c>
    </row>
    <row r="49" spans="1:44" s="40" customFormat="1" ht="10.5" customHeight="1">
      <c r="A49" s="222" t="s">
        <v>791</v>
      </c>
      <c r="B49" s="696" t="s">
        <v>1453</v>
      </c>
      <c r="C49" s="696"/>
      <c r="D49" s="696"/>
      <c r="E49" s="696"/>
      <c r="F49" s="696"/>
      <c r="G49" s="696"/>
      <c r="H49" s="696"/>
      <c r="I49" s="696"/>
      <c r="J49" s="44"/>
      <c r="K49" s="421"/>
      <c r="M49" s="223" t="s">
        <v>1526</v>
      </c>
      <c r="N49" s="1852" t="s">
        <v>1678</v>
      </c>
      <c r="O49" s="1852"/>
      <c r="P49" s="1852"/>
      <c r="Q49" s="1852"/>
      <c r="R49" s="1852"/>
      <c r="S49" s="1852"/>
      <c r="T49" s="1852"/>
      <c r="U49" s="1852"/>
      <c r="V49" s="214" t="s">
        <v>16</v>
      </c>
      <c r="W49" s="2094" t="s">
        <v>1370</v>
      </c>
      <c r="X49" s="2094"/>
      <c r="Y49" s="2094"/>
      <c r="Z49" s="2094"/>
      <c r="AA49" s="2094"/>
      <c r="AB49" s="2094"/>
      <c r="AC49" s="2094"/>
      <c r="AD49" s="1667"/>
      <c r="AE49" s="44"/>
      <c r="AF49" s="213"/>
      <c r="AG49" s="213"/>
      <c r="AH49" s="144"/>
      <c r="AI49" s="144"/>
      <c r="AJ49" s="144"/>
      <c r="AK49" s="144"/>
      <c r="AL49" s="144"/>
      <c r="AM49" s="422"/>
      <c r="AN49" s="1703"/>
      <c r="AO49" s="213"/>
      <c r="AP49" s="224"/>
    </row>
    <row r="50" spans="1:44" s="40" customFormat="1" ht="10.5" customHeight="1">
      <c r="A50" s="212" t="s">
        <v>790</v>
      </c>
      <c r="B50" s="2094" t="s">
        <v>1367</v>
      </c>
      <c r="C50" s="2094"/>
      <c r="D50" s="2094"/>
      <c r="E50" s="2094"/>
      <c r="F50" s="2094"/>
      <c r="G50" s="2094"/>
      <c r="H50" s="2094"/>
      <c r="I50" s="213"/>
      <c r="J50" s="213"/>
      <c r="K50" s="213" t="s">
        <v>407</v>
      </c>
      <c r="L50" s="696"/>
      <c r="N50" s="225"/>
      <c r="O50" s="2105"/>
      <c r="P50" s="2105"/>
      <c r="U50" s="215"/>
      <c r="V50" s="224"/>
      <c r="W50" s="2105" t="s">
        <v>407</v>
      </c>
      <c r="X50" s="2105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1065"/>
      <c r="AN50" s="1065"/>
      <c r="AO50" s="44"/>
      <c r="AP50" s="224"/>
      <c r="AR50" s="1074"/>
    </row>
    <row r="51" spans="1:44">
      <c r="A51" s="212"/>
      <c r="B51" s="2105"/>
      <c r="C51" s="2105"/>
      <c r="D51" s="2105"/>
      <c r="E51" s="2105"/>
      <c r="F51" s="1667"/>
      <c r="G51" s="1668"/>
      <c r="H51" s="1668"/>
      <c r="I51" s="213"/>
      <c r="J51" s="213"/>
      <c r="K51" s="213"/>
      <c r="L51" s="696"/>
      <c r="M51" s="40"/>
      <c r="N51" s="225"/>
      <c r="O51" s="1668"/>
      <c r="P51" s="1668"/>
      <c r="Q51" s="40"/>
      <c r="R51" s="40"/>
      <c r="S51" s="40"/>
      <c r="T51" s="40"/>
      <c r="U51" s="215"/>
      <c r="V51" s="22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224"/>
      <c r="AR51" s="669"/>
    </row>
    <row r="52" spans="1:44" ht="10.5" customHeight="1">
      <c r="C52" s="669"/>
      <c r="E52" s="669"/>
      <c r="F52" s="669"/>
      <c r="G52" s="669"/>
      <c r="H52" s="669"/>
      <c r="I52" s="669"/>
      <c r="K52" s="422"/>
      <c r="L52" s="1079"/>
      <c r="M52" s="1676"/>
    </row>
    <row r="53" spans="1:44">
      <c r="B53" s="69"/>
      <c r="C53" s="69"/>
      <c r="D53" s="69"/>
      <c r="E53" s="1391"/>
      <c r="F53" s="69"/>
      <c r="G53" s="1391"/>
      <c r="H53" s="1391"/>
      <c r="I53" s="69"/>
      <c r="J53" s="69"/>
      <c r="K53" s="69"/>
      <c r="L53" s="69"/>
      <c r="M53" s="1677"/>
      <c r="N53" s="69"/>
      <c r="O53" s="69"/>
      <c r="P53" s="69"/>
      <c r="Q53" s="69"/>
      <c r="R53" s="69"/>
      <c r="S53" s="69"/>
      <c r="T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1:44">
      <c r="C54" s="669"/>
      <c r="E54" s="669"/>
      <c r="F54" s="901"/>
      <c r="G54" s="669"/>
      <c r="H54" s="669"/>
      <c r="I54" s="1211"/>
      <c r="M54" s="669"/>
      <c r="N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</row>
    <row r="55" spans="1:44">
      <c r="B55" s="669"/>
      <c r="C55" s="669"/>
      <c r="D55" s="669"/>
      <c r="E55" s="669"/>
      <c r="F55" s="669"/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  <c r="AK55" s="669"/>
      <c r="AL55" s="669"/>
      <c r="AM55" s="669"/>
      <c r="AN55" s="669"/>
      <c r="AO55" s="669"/>
      <c r="AP55" s="669"/>
    </row>
    <row r="56" spans="1:44">
      <c r="C56" s="669"/>
      <c r="G56" s="669"/>
      <c r="H56" s="669"/>
      <c r="J56" s="669"/>
      <c r="K56" s="669"/>
      <c r="L56" s="1080"/>
      <c r="W56" s="669"/>
    </row>
    <row r="57" spans="1:44">
      <c r="J57" s="669"/>
      <c r="K57" s="669"/>
      <c r="W57" s="669"/>
    </row>
    <row r="58" spans="1:44">
      <c r="G58" s="669"/>
      <c r="J58" s="669"/>
      <c r="W58" s="669"/>
    </row>
    <row r="59" spans="1:44">
      <c r="J59" s="669"/>
      <c r="W59" s="669"/>
    </row>
    <row r="60" spans="1:44">
      <c r="J60" s="669"/>
    </row>
    <row r="61" spans="1:44">
      <c r="W61" s="669"/>
    </row>
    <row r="62" spans="1:44">
      <c r="W62" s="669"/>
    </row>
    <row r="63" spans="1:44">
      <c r="W63" s="669"/>
    </row>
    <row r="65" spans="23:23">
      <c r="W65" s="669"/>
    </row>
    <row r="66" spans="23:23">
      <c r="W66" s="669"/>
    </row>
    <row r="67" spans="23:23">
      <c r="W67" s="669"/>
    </row>
    <row r="68" spans="23:23">
      <c r="W68" s="66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0:H50"/>
    <mergeCell ref="O50:P50"/>
    <mergeCell ref="W50:X50"/>
    <mergeCell ref="B51:C51"/>
    <mergeCell ref="D51:E51"/>
    <mergeCell ref="N49:U49"/>
    <mergeCell ref="W49:AC49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45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X31" activePane="bottomRight" state="frozen"/>
      <selection activeCell="F85" sqref="F85"/>
      <selection pane="topRight" activeCell="F85" sqref="F85"/>
      <selection pane="bottomLeft" activeCell="F85" sqref="F85"/>
      <selection pane="bottomRight" activeCell="Y36" sqref="Y36:AA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10" t="s">
        <v>122</v>
      </c>
      <c r="B1" s="2110"/>
      <c r="C1" s="2110"/>
      <c r="D1" s="2110"/>
      <c r="E1" s="2110"/>
      <c r="F1" s="2110"/>
      <c r="G1" s="2110"/>
      <c r="H1" s="2111" t="s">
        <v>123</v>
      </c>
      <c r="I1" s="2111"/>
      <c r="J1" s="2111"/>
      <c r="K1" s="2111"/>
      <c r="M1" s="2110" t="s">
        <v>240</v>
      </c>
      <c r="N1" s="2110"/>
      <c r="O1" s="2110" t="s">
        <v>122</v>
      </c>
      <c r="P1" s="2110"/>
      <c r="Q1" s="2110"/>
      <c r="R1" s="2110"/>
      <c r="S1" s="2110"/>
      <c r="T1" s="2110"/>
      <c r="U1" s="2110"/>
      <c r="V1" s="2111" t="s">
        <v>123</v>
      </c>
      <c r="W1" s="2111"/>
      <c r="X1" s="2111"/>
      <c r="Y1" s="2111"/>
      <c r="Z1" s="24"/>
      <c r="AA1" s="2109" t="s">
        <v>301</v>
      </c>
      <c r="AB1" s="2109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112" t="s">
        <v>527</v>
      </c>
      <c r="B3" s="2115" t="s">
        <v>179</v>
      </c>
      <c r="C3" s="2116"/>
      <c r="D3" s="2115" t="s">
        <v>180</v>
      </c>
      <c r="E3" s="2116"/>
      <c r="F3" s="2115" t="s">
        <v>181</v>
      </c>
      <c r="G3" s="2116"/>
      <c r="H3" s="2115" t="s">
        <v>539</v>
      </c>
      <c r="I3" s="2116"/>
      <c r="J3" s="2115" t="s">
        <v>299</v>
      </c>
      <c r="K3" s="2116"/>
      <c r="L3" s="2115" t="s">
        <v>300</v>
      </c>
      <c r="M3" s="2116"/>
      <c r="N3" s="2112" t="s">
        <v>527</v>
      </c>
      <c r="O3" s="2112" t="s">
        <v>527</v>
      </c>
      <c r="P3" s="2115" t="s">
        <v>302</v>
      </c>
      <c r="Q3" s="2116"/>
      <c r="R3" s="2115" t="s">
        <v>303</v>
      </c>
      <c r="S3" s="2116"/>
      <c r="T3" s="2115" t="s">
        <v>304</v>
      </c>
      <c r="U3" s="2116"/>
      <c r="V3" s="2115" t="s">
        <v>112</v>
      </c>
      <c r="W3" s="2116"/>
      <c r="X3" s="2115" t="s">
        <v>305</v>
      </c>
      <c r="Y3" s="2116"/>
      <c r="Z3" s="2115" t="s">
        <v>118</v>
      </c>
      <c r="AA3" s="2116"/>
      <c r="AB3" s="2112" t="s">
        <v>527</v>
      </c>
    </row>
    <row r="4" spans="1:29" s="680" customFormat="1" ht="23.25" customHeight="1">
      <c r="A4" s="2113"/>
      <c r="B4" s="1949" t="s">
        <v>1734</v>
      </c>
      <c r="C4" s="1949" t="s">
        <v>1737</v>
      </c>
      <c r="D4" s="1949" t="s">
        <v>1734</v>
      </c>
      <c r="E4" s="1949" t="s">
        <v>2091</v>
      </c>
      <c r="F4" s="1949" t="s">
        <v>1734</v>
      </c>
      <c r="G4" s="1949" t="s">
        <v>2091</v>
      </c>
      <c r="H4" s="1949" t="s">
        <v>2123</v>
      </c>
      <c r="I4" s="1949" t="s">
        <v>877</v>
      </c>
      <c r="J4" s="1949" t="s">
        <v>2122</v>
      </c>
      <c r="K4" s="1949" t="s">
        <v>877</v>
      </c>
      <c r="L4" s="1949" t="s">
        <v>1734</v>
      </c>
      <c r="M4" s="1949" t="s">
        <v>1736</v>
      </c>
      <c r="N4" s="2113"/>
      <c r="O4" s="2113"/>
      <c r="P4" s="1949" t="s">
        <v>1734</v>
      </c>
      <c r="Q4" s="1949" t="s">
        <v>877</v>
      </c>
      <c r="R4" s="1949" t="s">
        <v>1734</v>
      </c>
      <c r="S4" s="1949" t="s">
        <v>877</v>
      </c>
      <c r="T4" s="1949" t="s">
        <v>1734</v>
      </c>
      <c r="U4" s="1949" t="s">
        <v>877</v>
      </c>
      <c r="V4" s="1949" t="s">
        <v>1734</v>
      </c>
      <c r="W4" s="1949" t="s">
        <v>877</v>
      </c>
      <c r="X4" s="1949" t="s">
        <v>1735</v>
      </c>
      <c r="Y4" s="1949" t="s">
        <v>877</v>
      </c>
      <c r="Z4" s="1949" t="s">
        <v>1734</v>
      </c>
      <c r="AA4" s="1949" t="s">
        <v>877</v>
      </c>
      <c r="AB4" s="2113"/>
    </row>
    <row r="5" spans="1:29" s="680" customFormat="1" ht="21" customHeight="1">
      <c r="A5" s="2114"/>
      <c r="B5" s="1951"/>
      <c r="C5" s="1951"/>
      <c r="D5" s="1951"/>
      <c r="E5" s="1951"/>
      <c r="F5" s="1951"/>
      <c r="G5" s="1951"/>
      <c r="H5" s="1951"/>
      <c r="I5" s="1951"/>
      <c r="J5" s="1951"/>
      <c r="K5" s="1951"/>
      <c r="L5" s="1951"/>
      <c r="M5" s="1951"/>
      <c r="N5" s="2114"/>
      <c r="O5" s="2114"/>
      <c r="P5" s="1951"/>
      <c r="Q5" s="1951"/>
      <c r="R5" s="1951"/>
      <c r="S5" s="1951"/>
      <c r="T5" s="1951"/>
      <c r="U5" s="1951"/>
      <c r="V5" s="1951"/>
      <c r="W5" s="1951"/>
      <c r="X5" s="1951"/>
      <c r="Y5" s="1951"/>
      <c r="Z5" s="1951"/>
      <c r="AA5" s="1951"/>
      <c r="AB5" s="2114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3" t="s">
        <v>590</v>
      </c>
      <c r="B7" s="785">
        <v>1791</v>
      </c>
      <c r="C7" s="785">
        <v>4111</v>
      </c>
      <c r="D7" s="785">
        <v>8509</v>
      </c>
      <c r="E7" s="785">
        <v>13824</v>
      </c>
      <c r="F7" s="785">
        <v>6538</v>
      </c>
      <c r="G7" s="785">
        <v>6582</v>
      </c>
      <c r="H7" s="785">
        <v>1245</v>
      </c>
      <c r="I7" s="785">
        <v>1580</v>
      </c>
      <c r="J7" s="785">
        <v>7446</v>
      </c>
      <c r="K7" s="785">
        <v>445</v>
      </c>
      <c r="L7" s="785">
        <v>245</v>
      </c>
      <c r="M7" s="785">
        <v>833</v>
      </c>
      <c r="N7" s="605" t="s">
        <v>590</v>
      </c>
      <c r="O7" s="1416" t="s">
        <v>590</v>
      </c>
      <c r="P7" s="785">
        <v>32</v>
      </c>
      <c r="Q7" s="785">
        <v>133</v>
      </c>
      <c r="R7" s="785">
        <v>168</v>
      </c>
      <c r="S7" s="785">
        <v>512</v>
      </c>
      <c r="T7" s="785">
        <v>38</v>
      </c>
      <c r="U7" s="785">
        <v>89</v>
      </c>
      <c r="V7" s="785">
        <v>52</v>
      </c>
      <c r="W7" s="785">
        <v>118</v>
      </c>
      <c r="X7" s="785">
        <v>964</v>
      </c>
      <c r="Y7" s="785">
        <v>1383</v>
      </c>
      <c r="Z7" s="785">
        <v>13</v>
      </c>
      <c r="AA7" s="785">
        <v>86</v>
      </c>
      <c r="AB7" s="353" t="s">
        <v>590</v>
      </c>
    </row>
    <row r="8" spans="1:29" s="8" customFormat="1" ht="17.45" customHeight="1">
      <c r="A8" s="267" t="s">
        <v>591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8" t="s">
        <v>591</v>
      </c>
      <c r="O8" s="267" t="s">
        <v>591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8" t="s">
        <v>591</v>
      </c>
    </row>
    <row r="9" spans="1:29" s="8" customFormat="1" ht="17.45" customHeight="1">
      <c r="A9" s="1416" t="s">
        <v>592</v>
      </c>
      <c r="B9" s="785">
        <v>1871</v>
      </c>
      <c r="C9" s="785">
        <v>3935</v>
      </c>
      <c r="D9" s="785">
        <v>9552</v>
      </c>
      <c r="E9" s="785">
        <v>14399</v>
      </c>
      <c r="F9" s="785">
        <v>7460</v>
      </c>
      <c r="G9" s="785">
        <v>6876</v>
      </c>
      <c r="H9" s="785">
        <v>1454</v>
      </c>
      <c r="I9" s="785">
        <v>1749</v>
      </c>
      <c r="J9" s="785">
        <v>7520</v>
      </c>
      <c r="K9" s="785">
        <v>434</v>
      </c>
      <c r="L9" s="785">
        <v>249</v>
      </c>
      <c r="M9" s="785">
        <v>831</v>
      </c>
      <c r="N9" s="353" t="s">
        <v>592</v>
      </c>
      <c r="O9" s="1416" t="s">
        <v>592</v>
      </c>
      <c r="P9" s="785">
        <v>34</v>
      </c>
      <c r="Q9" s="785">
        <v>136</v>
      </c>
      <c r="R9" s="785">
        <v>171</v>
      </c>
      <c r="S9" s="785">
        <v>510</v>
      </c>
      <c r="T9" s="785">
        <v>38</v>
      </c>
      <c r="U9" s="785">
        <v>86</v>
      </c>
      <c r="V9" s="785">
        <v>53</v>
      </c>
      <c r="W9" s="785">
        <v>119</v>
      </c>
      <c r="X9" s="785">
        <v>883</v>
      </c>
      <c r="Y9" s="785">
        <v>1253</v>
      </c>
      <c r="Z9" s="785">
        <v>14</v>
      </c>
      <c r="AA9" s="785">
        <v>91</v>
      </c>
      <c r="AB9" s="353" t="s">
        <v>592</v>
      </c>
    </row>
    <row r="10" spans="1:29" s="8" customFormat="1" ht="17.45" customHeight="1">
      <c r="A10" s="267" t="s">
        <v>593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8" t="s">
        <v>593</v>
      </c>
      <c r="O10" s="267" t="s">
        <v>593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8" t="s">
        <v>593</v>
      </c>
    </row>
    <row r="11" spans="1:29" s="8" customFormat="1" ht="17.45" customHeight="1">
      <c r="A11" s="1416" t="s">
        <v>594</v>
      </c>
      <c r="B11" s="785">
        <v>1617</v>
      </c>
      <c r="C11" s="785">
        <v>3519</v>
      </c>
      <c r="D11" s="785">
        <v>7736</v>
      </c>
      <c r="E11" s="785">
        <v>12762</v>
      </c>
      <c r="F11" s="785">
        <v>10552</v>
      </c>
      <c r="G11" s="785">
        <v>8715</v>
      </c>
      <c r="H11" s="785">
        <v>1988</v>
      </c>
      <c r="I11" s="785">
        <v>2180</v>
      </c>
      <c r="J11" s="785">
        <v>6951</v>
      </c>
      <c r="K11" s="785">
        <v>430</v>
      </c>
      <c r="L11" s="785">
        <v>253</v>
      </c>
      <c r="M11" s="785">
        <v>850</v>
      </c>
      <c r="N11" s="353" t="s">
        <v>594</v>
      </c>
      <c r="O11" s="1416" t="s">
        <v>594</v>
      </c>
      <c r="P11" s="785">
        <v>34</v>
      </c>
      <c r="Q11" s="785">
        <v>137</v>
      </c>
      <c r="R11" s="785">
        <v>165</v>
      </c>
      <c r="S11" s="785">
        <v>508</v>
      </c>
      <c r="T11" s="785">
        <v>29</v>
      </c>
      <c r="U11" s="785">
        <v>78</v>
      </c>
      <c r="V11" s="785">
        <v>56</v>
      </c>
      <c r="W11" s="785">
        <v>120</v>
      </c>
      <c r="X11" s="785">
        <v>812</v>
      </c>
      <c r="Y11" s="785">
        <v>1181</v>
      </c>
      <c r="Z11" s="785" t="s">
        <v>629</v>
      </c>
      <c r="AA11" s="785" t="s">
        <v>629</v>
      </c>
      <c r="AB11" s="353" t="s">
        <v>594</v>
      </c>
    </row>
    <row r="12" spans="1:29" s="8" customFormat="1" ht="17.45" customHeight="1">
      <c r="A12" s="267" t="s">
        <v>595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8" t="s">
        <v>595</v>
      </c>
      <c r="O12" s="267" t="s">
        <v>595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629</v>
      </c>
      <c r="AA12" s="73" t="s">
        <v>629</v>
      </c>
      <c r="AB12" s="668" t="s">
        <v>595</v>
      </c>
    </row>
    <row r="13" spans="1:29" s="8" customFormat="1" ht="17.45" customHeight="1">
      <c r="A13" s="1416" t="s">
        <v>596</v>
      </c>
      <c r="B13" s="785">
        <v>1916</v>
      </c>
      <c r="C13" s="785">
        <v>3275</v>
      </c>
      <c r="D13" s="785">
        <v>11249</v>
      </c>
      <c r="E13" s="785">
        <v>14110</v>
      </c>
      <c r="F13" s="785">
        <v>11921</v>
      </c>
      <c r="G13" s="785">
        <v>9296</v>
      </c>
      <c r="H13" s="785">
        <v>1673</v>
      </c>
      <c r="I13" s="785">
        <v>1909</v>
      </c>
      <c r="J13" s="785">
        <v>6742</v>
      </c>
      <c r="K13" s="785">
        <v>417</v>
      </c>
      <c r="L13" s="785">
        <v>238</v>
      </c>
      <c r="M13" s="785">
        <v>785</v>
      </c>
      <c r="N13" s="353" t="s">
        <v>596</v>
      </c>
      <c r="O13" s="1416" t="s">
        <v>596</v>
      </c>
      <c r="P13" s="785">
        <v>34</v>
      </c>
      <c r="Q13" s="785">
        <v>130</v>
      </c>
      <c r="R13" s="785">
        <v>126</v>
      </c>
      <c r="S13" s="785">
        <v>406</v>
      </c>
      <c r="T13" s="785">
        <v>37</v>
      </c>
      <c r="U13" s="785">
        <v>74</v>
      </c>
      <c r="V13" s="785">
        <v>52</v>
      </c>
      <c r="W13" s="785">
        <v>120</v>
      </c>
      <c r="X13" s="785">
        <v>821</v>
      </c>
      <c r="Y13" s="785">
        <v>1107</v>
      </c>
      <c r="Z13" s="785">
        <v>27</v>
      </c>
      <c r="AA13" s="785">
        <v>40</v>
      </c>
      <c r="AB13" s="353" t="s">
        <v>596</v>
      </c>
    </row>
    <row r="14" spans="1:29" s="8" customFormat="1" ht="17.45" customHeight="1">
      <c r="A14" s="267" t="s">
        <v>597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8" t="s">
        <v>597</v>
      </c>
      <c r="O14" s="267" t="s">
        <v>597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8" t="s">
        <v>597</v>
      </c>
    </row>
    <row r="15" spans="1:29" s="8" customFormat="1" ht="17.45" customHeight="1">
      <c r="A15" s="1416" t="s">
        <v>598</v>
      </c>
      <c r="B15" s="785">
        <v>1850</v>
      </c>
      <c r="C15" s="785">
        <v>3073</v>
      </c>
      <c r="D15" s="785">
        <v>11115</v>
      </c>
      <c r="E15" s="785">
        <v>14041</v>
      </c>
      <c r="F15" s="785">
        <v>12222</v>
      </c>
      <c r="G15" s="785">
        <v>9501</v>
      </c>
      <c r="H15" s="785">
        <v>1507</v>
      </c>
      <c r="I15" s="785">
        <v>1746</v>
      </c>
      <c r="J15" s="785">
        <v>6838</v>
      </c>
      <c r="K15" s="785">
        <v>410</v>
      </c>
      <c r="L15" s="785">
        <v>218</v>
      </c>
      <c r="M15" s="785">
        <v>735</v>
      </c>
      <c r="N15" s="353" t="s">
        <v>598</v>
      </c>
      <c r="O15" s="1416" t="s">
        <v>598</v>
      </c>
      <c r="P15" s="785">
        <v>30</v>
      </c>
      <c r="Q15" s="785">
        <v>109</v>
      </c>
      <c r="R15" s="785">
        <v>116</v>
      </c>
      <c r="S15" s="785">
        <v>381</v>
      </c>
      <c r="T15" s="785">
        <v>38</v>
      </c>
      <c r="U15" s="785">
        <v>75</v>
      </c>
      <c r="V15" s="785">
        <v>58</v>
      </c>
      <c r="W15" s="785">
        <v>126</v>
      </c>
      <c r="X15" s="785">
        <v>800</v>
      </c>
      <c r="Y15" s="785">
        <v>1079</v>
      </c>
      <c r="Z15" s="785">
        <v>24</v>
      </c>
      <c r="AA15" s="785">
        <v>38</v>
      </c>
      <c r="AB15" s="353" t="s">
        <v>598</v>
      </c>
    </row>
    <row r="16" spans="1:29" s="8" customFormat="1" ht="17.45" customHeight="1">
      <c r="A16" s="267" t="s">
        <v>599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8" t="s">
        <v>599</v>
      </c>
      <c r="O16" s="267" t="s">
        <v>599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8" t="s">
        <v>599</v>
      </c>
    </row>
    <row r="17" spans="1:30" s="8" customFormat="1" ht="17.45" customHeight="1">
      <c r="A17" s="1416" t="s">
        <v>600</v>
      </c>
      <c r="B17" s="785">
        <v>1500</v>
      </c>
      <c r="C17" s="785">
        <v>2532</v>
      </c>
      <c r="D17" s="785">
        <v>9820</v>
      </c>
      <c r="E17" s="785">
        <v>13047</v>
      </c>
      <c r="F17" s="785">
        <v>13837</v>
      </c>
      <c r="G17" s="785">
        <v>10042</v>
      </c>
      <c r="H17" s="785">
        <v>976</v>
      </c>
      <c r="I17" s="785">
        <v>1380</v>
      </c>
      <c r="J17" s="785">
        <v>6423</v>
      </c>
      <c r="K17" s="785">
        <v>388</v>
      </c>
      <c r="L17" s="785">
        <v>191</v>
      </c>
      <c r="M17" s="785">
        <v>597</v>
      </c>
      <c r="N17" s="353" t="s">
        <v>600</v>
      </c>
      <c r="O17" s="1416" t="s">
        <v>600</v>
      </c>
      <c r="P17" s="785">
        <v>18</v>
      </c>
      <c r="Q17" s="785">
        <v>60</v>
      </c>
      <c r="R17" s="785">
        <v>121</v>
      </c>
      <c r="S17" s="785">
        <v>380</v>
      </c>
      <c r="T17" s="785">
        <v>38</v>
      </c>
      <c r="U17" s="785">
        <v>78</v>
      </c>
      <c r="V17" s="785">
        <v>58</v>
      </c>
      <c r="W17" s="785">
        <v>132</v>
      </c>
      <c r="X17" s="785">
        <v>1035</v>
      </c>
      <c r="Y17" s="785">
        <v>965</v>
      </c>
      <c r="Z17" s="785">
        <v>3</v>
      </c>
      <c r="AA17" s="785">
        <v>4</v>
      </c>
      <c r="AB17" s="353" t="s">
        <v>600</v>
      </c>
    </row>
    <row r="18" spans="1:30" s="8" customFormat="1" ht="17.45" customHeight="1">
      <c r="A18" s="267" t="s">
        <v>605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8" t="s">
        <v>605</v>
      </c>
      <c r="O18" s="1415" t="s">
        <v>605</v>
      </c>
      <c r="P18" s="237">
        <v>17</v>
      </c>
      <c r="Q18" s="237">
        <v>55</v>
      </c>
      <c r="R18" s="237">
        <v>115</v>
      </c>
      <c r="S18" s="237">
        <v>333</v>
      </c>
      <c r="T18" s="237">
        <v>43</v>
      </c>
      <c r="U18" s="237">
        <v>78</v>
      </c>
      <c r="V18" s="237">
        <v>58</v>
      </c>
      <c r="W18" s="237">
        <v>130</v>
      </c>
      <c r="X18" s="238">
        <v>838</v>
      </c>
      <c r="Y18" s="238">
        <v>993</v>
      </c>
      <c r="Z18" s="237">
        <v>18</v>
      </c>
      <c r="AA18" s="237">
        <v>26</v>
      </c>
      <c r="AB18" s="283" t="s">
        <v>605</v>
      </c>
    </row>
    <row r="19" spans="1:30" s="8" customFormat="1" ht="17.45" customHeight="1">
      <c r="A19" s="1416" t="s">
        <v>614</v>
      </c>
      <c r="B19" s="785">
        <v>1512</v>
      </c>
      <c r="C19" s="785">
        <v>2238</v>
      </c>
      <c r="D19" s="785">
        <v>10841</v>
      </c>
      <c r="E19" s="785">
        <v>13382</v>
      </c>
      <c r="F19" s="785">
        <v>14965</v>
      </c>
      <c r="G19" s="785">
        <v>10522</v>
      </c>
      <c r="H19" s="785">
        <v>737</v>
      </c>
      <c r="I19" s="785">
        <v>988</v>
      </c>
      <c r="J19" s="785">
        <v>5770</v>
      </c>
      <c r="K19" s="785">
        <v>371</v>
      </c>
      <c r="L19" s="785">
        <v>189</v>
      </c>
      <c r="M19" s="785">
        <v>520</v>
      </c>
      <c r="N19" s="353" t="s">
        <v>614</v>
      </c>
      <c r="O19" s="1416" t="s">
        <v>614</v>
      </c>
      <c r="P19" s="785">
        <v>19</v>
      </c>
      <c r="Q19" s="785">
        <v>60</v>
      </c>
      <c r="R19" s="785">
        <v>117</v>
      </c>
      <c r="S19" s="785">
        <v>340</v>
      </c>
      <c r="T19" s="785">
        <v>39</v>
      </c>
      <c r="U19" s="785">
        <v>76</v>
      </c>
      <c r="V19" s="322">
        <v>58</v>
      </c>
      <c r="W19" s="322">
        <v>129</v>
      </c>
      <c r="X19" s="785">
        <v>879</v>
      </c>
      <c r="Y19" s="785">
        <v>1034</v>
      </c>
      <c r="Z19" s="785">
        <v>18</v>
      </c>
      <c r="AA19" s="785">
        <v>25</v>
      </c>
      <c r="AB19" s="353" t="s">
        <v>614</v>
      </c>
    </row>
    <row r="20" spans="1:30" s="9" customFormat="1" ht="17.45" customHeight="1">
      <c r="A20" s="1415" t="s">
        <v>362</v>
      </c>
      <c r="B20" s="237">
        <v>1507</v>
      </c>
      <c r="C20" s="237">
        <v>2270</v>
      </c>
      <c r="D20" s="237">
        <v>9662</v>
      </c>
      <c r="E20" s="237">
        <v>12474</v>
      </c>
      <c r="F20" s="237">
        <v>17762</v>
      </c>
      <c r="G20" s="237">
        <v>11386</v>
      </c>
      <c r="H20" s="237">
        <v>844</v>
      </c>
      <c r="I20" s="237">
        <v>958</v>
      </c>
      <c r="J20" s="237">
        <v>4984</v>
      </c>
      <c r="K20" s="237">
        <v>320</v>
      </c>
      <c r="L20" s="238">
        <v>228</v>
      </c>
      <c r="M20" s="238">
        <v>577</v>
      </c>
      <c r="N20" s="283" t="s">
        <v>362</v>
      </c>
      <c r="O20" s="1415" t="s">
        <v>362</v>
      </c>
      <c r="P20" s="237">
        <v>21</v>
      </c>
      <c r="Q20" s="237">
        <v>60</v>
      </c>
      <c r="R20" s="238">
        <v>72</v>
      </c>
      <c r="S20" s="238">
        <v>179</v>
      </c>
      <c r="T20" s="237">
        <v>40</v>
      </c>
      <c r="U20" s="237">
        <v>72</v>
      </c>
      <c r="V20" s="238">
        <v>59</v>
      </c>
      <c r="W20" s="238">
        <v>133</v>
      </c>
      <c r="X20" s="237">
        <v>832</v>
      </c>
      <c r="Y20" s="237">
        <v>1089</v>
      </c>
      <c r="Z20" s="238">
        <v>15</v>
      </c>
      <c r="AA20" s="238">
        <v>22</v>
      </c>
      <c r="AB20" s="283" t="s">
        <v>362</v>
      </c>
    </row>
    <row r="21" spans="1:30" s="9" customFormat="1" ht="17.45" customHeight="1">
      <c r="A21" s="1416" t="s">
        <v>85</v>
      </c>
      <c r="B21" s="785">
        <v>1895</v>
      </c>
      <c r="C21" s="785">
        <v>2633</v>
      </c>
      <c r="D21" s="785">
        <v>11613</v>
      </c>
      <c r="E21" s="785">
        <v>13585</v>
      </c>
      <c r="F21" s="785">
        <v>17809</v>
      </c>
      <c r="G21" s="785">
        <v>11654</v>
      </c>
      <c r="H21" s="785">
        <v>849</v>
      </c>
      <c r="I21" s="785">
        <v>975</v>
      </c>
      <c r="J21" s="785">
        <v>5232</v>
      </c>
      <c r="K21" s="785">
        <v>312</v>
      </c>
      <c r="L21" s="785">
        <v>228</v>
      </c>
      <c r="M21" s="785">
        <v>578</v>
      </c>
      <c r="N21" s="353" t="s">
        <v>85</v>
      </c>
      <c r="O21" s="1416" t="s">
        <v>85</v>
      </c>
      <c r="P21" s="785">
        <v>18</v>
      </c>
      <c r="Q21" s="785">
        <v>54</v>
      </c>
      <c r="R21" s="785">
        <v>61</v>
      </c>
      <c r="S21" s="785">
        <v>175</v>
      </c>
      <c r="T21" s="785">
        <v>40</v>
      </c>
      <c r="U21" s="785">
        <v>74</v>
      </c>
      <c r="V21" s="785">
        <v>59</v>
      </c>
      <c r="W21" s="785">
        <v>134</v>
      </c>
      <c r="X21" s="785">
        <v>842</v>
      </c>
      <c r="Y21" s="785">
        <v>1039</v>
      </c>
      <c r="Z21" s="785">
        <v>12</v>
      </c>
      <c r="AA21" s="785">
        <v>18</v>
      </c>
      <c r="AB21" s="353" t="s">
        <v>85</v>
      </c>
    </row>
    <row r="22" spans="1:30" s="9" customFormat="1" ht="17.45" customHeight="1">
      <c r="A22" s="1415" t="s">
        <v>81</v>
      </c>
      <c r="B22" s="237">
        <v>1709</v>
      </c>
      <c r="C22" s="237">
        <v>2431</v>
      </c>
      <c r="D22" s="237">
        <v>12207</v>
      </c>
      <c r="E22" s="237">
        <v>13993</v>
      </c>
      <c r="F22" s="237">
        <v>18059</v>
      </c>
      <c r="G22" s="237">
        <v>11631</v>
      </c>
      <c r="H22" s="237">
        <v>901</v>
      </c>
      <c r="I22" s="237">
        <v>930</v>
      </c>
      <c r="J22" s="237">
        <v>4491</v>
      </c>
      <c r="K22" s="237">
        <v>290</v>
      </c>
      <c r="L22" s="237">
        <v>222</v>
      </c>
      <c r="M22" s="237">
        <v>608</v>
      </c>
      <c r="N22" s="283" t="s">
        <v>81</v>
      </c>
      <c r="O22" s="1415" t="s">
        <v>81</v>
      </c>
      <c r="P22" s="237">
        <v>20</v>
      </c>
      <c r="Q22" s="237">
        <v>57</v>
      </c>
      <c r="R22" s="237">
        <v>71</v>
      </c>
      <c r="S22" s="237">
        <v>191</v>
      </c>
      <c r="T22" s="237">
        <v>55</v>
      </c>
      <c r="U22" s="237">
        <v>95</v>
      </c>
      <c r="V22" s="237">
        <v>68</v>
      </c>
      <c r="W22" s="237">
        <v>136</v>
      </c>
      <c r="X22" s="237">
        <v>916</v>
      </c>
      <c r="Y22" s="237">
        <v>1029</v>
      </c>
      <c r="Z22" s="237">
        <v>20</v>
      </c>
      <c r="AA22" s="237">
        <v>24</v>
      </c>
      <c r="AB22" s="283" t="s">
        <v>81</v>
      </c>
    </row>
    <row r="23" spans="1:30" s="8" customFormat="1" ht="17.45" customHeight="1">
      <c r="A23" s="1416" t="s">
        <v>199</v>
      </c>
      <c r="B23" s="785">
        <v>2133</v>
      </c>
      <c r="C23" s="785">
        <v>2750</v>
      </c>
      <c r="D23" s="322">
        <v>12792</v>
      </c>
      <c r="E23" s="322">
        <v>13951</v>
      </c>
      <c r="F23" s="322">
        <v>18617</v>
      </c>
      <c r="G23" s="322">
        <v>11788</v>
      </c>
      <c r="H23" s="322">
        <v>972</v>
      </c>
      <c r="I23" s="322">
        <v>923</v>
      </c>
      <c r="J23" s="322">
        <v>4671</v>
      </c>
      <c r="K23" s="322">
        <v>287</v>
      </c>
      <c r="L23" s="322">
        <v>246</v>
      </c>
      <c r="M23" s="322">
        <v>623</v>
      </c>
      <c r="N23" s="385" t="s">
        <v>199</v>
      </c>
      <c r="O23" s="354" t="s">
        <v>199</v>
      </c>
      <c r="P23" s="322">
        <v>19</v>
      </c>
      <c r="Q23" s="322">
        <v>68</v>
      </c>
      <c r="R23" s="322">
        <v>80</v>
      </c>
      <c r="S23" s="322">
        <v>205</v>
      </c>
      <c r="T23" s="322">
        <v>79</v>
      </c>
      <c r="U23" s="322">
        <v>121</v>
      </c>
      <c r="V23" s="322">
        <v>61</v>
      </c>
      <c r="W23" s="322">
        <v>140</v>
      </c>
      <c r="X23" s="322">
        <v>1511</v>
      </c>
      <c r="Y23" s="322">
        <v>1751</v>
      </c>
      <c r="Z23" s="322">
        <v>14</v>
      </c>
      <c r="AA23" s="322">
        <v>24</v>
      </c>
      <c r="AB23" s="385" t="s">
        <v>199</v>
      </c>
    </row>
    <row r="24" spans="1:30" s="8" customFormat="1" ht="17.45" customHeight="1">
      <c r="A24" s="1415" t="s">
        <v>792</v>
      </c>
      <c r="B24" s="237">
        <v>2332</v>
      </c>
      <c r="C24" s="237">
        <v>2812</v>
      </c>
      <c r="D24" s="280">
        <v>12798</v>
      </c>
      <c r="E24" s="280">
        <v>13789</v>
      </c>
      <c r="F24" s="280">
        <v>18759</v>
      </c>
      <c r="G24" s="280">
        <v>11886</v>
      </c>
      <c r="H24" s="280">
        <v>995</v>
      </c>
      <c r="I24" s="280">
        <v>885</v>
      </c>
      <c r="J24" s="280">
        <v>4603</v>
      </c>
      <c r="K24" s="280">
        <v>279</v>
      </c>
      <c r="L24" s="280">
        <v>262</v>
      </c>
      <c r="M24" s="280">
        <v>682</v>
      </c>
      <c r="N24" s="419" t="s">
        <v>792</v>
      </c>
      <c r="O24" s="278" t="s">
        <v>792</v>
      </c>
      <c r="P24" s="280">
        <v>26</v>
      </c>
      <c r="Q24" s="280">
        <v>91</v>
      </c>
      <c r="R24" s="280">
        <v>80</v>
      </c>
      <c r="S24" s="280">
        <v>213</v>
      </c>
      <c r="T24" s="280">
        <v>85</v>
      </c>
      <c r="U24" s="280">
        <v>126</v>
      </c>
      <c r="V24" s="280">
        <v>61</v>
      </c>
      <c r="W24" s="280">
        <v>143</v>
      </c>
      <c r="X24" s="280">
        <v>1441</v>
      </c>
      <c r="Y24" s="280">
        <v>1878</v>
      </c>
      <c r="Z24" s="280">
        <v>16</v>
      </c>
      <c r="AA24" s="280">
        <v>25</v>
      </c>
      <c r="AB24" s="419" t="s">
        <v>792</v>
      </c>
    </row>
    <row r="25" spans="1:30" s="8" customFormat="1" ht="17.45" customHeight="1">
      <c r="A25" s="1416" t="s">
        <v>908</v>
      </c>
      <c r="B25" s="785">
        <v>2158</v>
      </c>
      <c r="C25" s="785">
        <v>2602</v>
      </c>
      <c r="D25" s="322">
        <v>12897</v>
      </c>
      <c r="E25" s="322">
        <v>13863</v>
      </c>
      <c r="F25" s="322">
        <v>18778</v>
      </c>
      <c r="G25" s="322">
        <v>11763</v>
      </c>
      <c r="H25" s="322">
        <v>1255</v>
      </c>
      <c r="I25" s="322">
        <v>1029</v>
      </c>
      <c r="J25" s="322">
        <v>4469</v>
      </c>
      <c r="K25" s="322">
        <v>270</v>
      </c>
      <c r="L25" s="322">
        <v>294</v>
      </c>
      <c r="M25" s="322">
        <v>728</v>
      </c>
      <c r="N25" s="385" t="s">
        <v>908</v>
      </c>
      <c r="O25" s="354" t="s">
        <v>908</v>
      </c>
      <c r="P25" s="322">
        <v>25</v>
      </c>
      <c r="Q25" s="322">
        <v>87</v>
      </c>
      <c r="R25" s="322">
        <v>93</v>
      </c>
      <c r="S25" s="322">
        <v>222</v>
      </c>
      <c r="T25" s="322">
        <v>79</v>
      </c>
      <c r="U25" s="322">
        <v>119</v>
      </c>
      <c r="V25" s="322">
        <v>63</v>
      </c>
      <c r="W25" s="322">
        <v>144</v>
      </c>
      <c r="X25" s="322">
        <v>1370</v>
      </c>
      <c r="Y25" s="322">
        <v>1683</v>
      </c>
      <c r="Z25" s="322">
        <v>20</v>
      </c>
      <c r="AA25" s="322">
        <v>31</v>
      </c>
      <c r="AB25" s="385" t="s">
        <v>908</v>
      </c>
    </row>
    <row r="26" spans="1:30" s="8" customFormat="1" ht="17.45" customHeight="1">
      <c r="A26" s="1415" t="s">
        <v>1108</v>
      </c>
      <c r="B26" s="237">
        <v>2326</v>
      </c>
      <c r="C26" s="237">
        <v>2598</v>
      </c>
      <c r="D26" s="280">
        <v>13023</v>
      </c>
      <c r="E26" s="280">
        <v>13666</v>
      </c>
      <c r="F26" s="280">
        <v>19007</v>
      </c>
      <c r="G26" s="280">
        <v>11837</v>
      </c>
      <c r="H26" s="280">
        <v>1303</v>
      </c>
      <c r="I26" s="280">
        <v>1062</v>
      </c>
      <c r="J26" s="280">
        <v>4508</v>
      </c>
      <c r="K26" s="280">
        <v>265</v>
      </c>
      <c r="L26" s="280">
        <v>296</v>
      </c>
      <c r="M26" s="280">
        <v>724</v>
      </c>
      <c r="N26" s="419" t="s">
        <v>1108</v>
      </c>
      <c r="O26" s="278" t="s">
        <v>1108</v>
      </c>
      <c r="P26" s="280">
        <v>32</v>
      </c>
      <c r="Q26" s="280">
        <v>97</v>
      </c>
      <c r="R26" s="280">
        <v>157</v>
      </c>
      <c r="S26" s="280">
        <v>308</v>
      </c>
      <c r="T26" s="280">
        <v>85</v>
      </c>
      <c r="U26" s="280">
        <v>124</v>
      </c>
      <c r="V26" s="280">
        <v>67</v>
      </c>
      <c r="W26" s="280">
        <v>148</v>
      </c>
      <c r="X26" s="280">
        <v>1338</v>
      </c>
      <c r="Y26" s="280">
        <v>1645</v>
      </c>
      <c r="Z26" s="280">
        <v>19</v>
      </c>
      <c r="AA26" s="280">
        <v>28</v>
      </c>
      <c r="AB26" s="419" t="s">
        <v>1108</v>
      </c>
    </row>
    <row r="27" spans="1:30" s="8" customFormat="1" ht="17.45" customHeight="1">
      <c r="A27" s="1416" t="s">
        <v>1167</v>
      </c>
      <c r="B27" s="785">
        <v>2328</v>
      </c>
      <c r="C27" s="785">
        <v>2583</v>
      </c>
      <c r="D27" s="322">
        <v>13190</v>
      </c>
      <c r="E27" s="322">
        <v>13665</v>
      </c>
      <c r="F27" s="322">
        <v>19192</v>
      </c>
      <c r="G27" s="322">
        <v>11961</v>
      </c>
      <c r="H27" s="322">
        <v>1348</v>
      </c>
      <c r="I27" s="322">
        <v>1079</v>
      </c>
      <c r="J27" s="322">
        <v>4434</v>
      </c>
      <c r="K27" s="322">
        <v>257</v>
      </c>
      <c r="L27" s="322">
        <v>359</v>
      </c>
      <c r="M27" s="322">
        <v>803</v>
      </c>
      <c r="N27" s="353" t="s">
        <v>1167</v>
      </c>
      <c r="O27" s="1416" t="s">
        <v>1167</v>
      </c>
      <c r="P27" s="322">
        <v>33</v>
      </c>
      <c r="Q27" s="322">
        <v>96</v>
      </c>
      <c r="R27" s="322">
        <v>167</v>
      </c>
      <c r="S27" s="322">
        <v>359</v>
      </c>
      <c r="T27" s="322">
        <v>94</v>
      </c>
      <c r="U27" s="322">
        <v>127</v>
      </c>
      <c r="V27" s="322">
        <v>66</v>
      </c>
      <c r="W27" s="322">
        <v>149</v>
      </c>
      <c r="X27" s="322">
        <v>1350</v>
      </c>
      <c r="Y27" s="322">
        <v>1662</v>
      </c>
      <c r="Z27" s="322">
        <v>30</v>
      </c>
      <c r="AA27" s="322">
        <v>33</v>
      </c>
      <c r="AB27" s="353" t="s">
        <v>1167</v>
      </c>
    </row>
    <row r="28" spans="1:30" s="8" customFormat="1" ht="17.45" customHeight="1">
      <c r="A28" s="1415" t="s">
        <v>1299</v>
      </c>
      <c r="B28" s="237">
        <v>2289</v>
      </c>
      <c r="C28" s="237">
        <v>2516</v>
      </c>
      <c r="D28" s="280">
        <v>13483</v>
      </c>
      <c r="E28" s="280">
        <v>13814</v>
      </c>
      <c r="F28" s="280">
        <v>18938</v>
      </c>
      <c r="G28" s="280">
        <v>11794</v>
      </c>
      <c r="H28" s="280">
        <v>1348</v>
      </c>
      <c r="I28" s="280">
        <v>1099</v>
      </c>
      <c r="J28" s="237">
        <v>4207</v>
      </c>
      <c r="K28" s="237">
        <v>243</v>
      </c>
      <c r="L28" s="237">
        <v>362</v>
      </c>
      <c r="M28" s="237">
        <v>787</v>
      </c>
      <c r="N28" s="283" t="s">
        <v>1299</v>
      </c>
      <c r="O28" s="1415" t="s">
        <v>1299</v>
      </c>
      <c r="P28" s="237">
        <v>37</v>
      </c>
      <c r="Q28" s="237">
        <v>101</v>
      </c>
      <c r="R28" s="237">
        <v>158</v>
      </c>
      <c r="S28" s="237">
        <v>382</v>
      </c>
      <c r="T28" s="237">
        <v>88</v>
      </c>
      <c r="U28" s="237">
        <v>115</v>
      </c>
      <c r="V28" s="237">
        <v>64</v>
      </c>
      <c r="W28" s="237">
        <v>148</v>
      </c>
      <c r="X28" s="280">
        <v>1361</v>
      </c>
      <c r="Y28" s="280">
        <v>1675</v>
      </c>
      <c r="Z28" s="237">
        <v>33</v>
      </c>
      <c r="AA28" s="237">
        <v>34</v>
      </c>
      <c r="AB28" s="283" t="s">
        <v>1299</v>
      </c>
    </row>
    <row r="29" spans="1:30" s="8" customFormat="1" ht="17.45" customHeight="1">
      <c r="A29" s="1416" t="s">
        <v>1332</v>
      </c>
      <c r="B29" s="785">
        <v>2134</v>
      </c>
      <c r="C29" s="785">
        <v>2327</v>
      </c>
      <c r="D29" s="322">
        <v>13656</v>
      </c>
      <c r="E29" s="322">
        <v>13797</v>
      </c>
      <c r="F29" s="322">
        <v>18014</v>
      </c>
      <c r="G29" s="322">
        <v>11060</v>
      </c>
      <c r="H29" s="322">
        <v>1311</v>
      </c>
      <c r="I29" s="322">
        <v>1026</v>
      </c>
      <c r="J29" s="785">
        <v>3862</v>
      </c>
      <c r="K29" s="785">
        <v>227</v>
      </c>
      <c r="L29" s="785">
        <v>363</v>
      </c>
      <c r="M29" s="785">
        <v>831</v>
      </c>
      <c r="N29" s="353" t="s">
        <v>1332</v>
      </c>
      <c r="O29" s="1416" t="s">
        <v>1332</v>
      </c>
      <c r="P29" s="785">
        <v>35</v>
      </c>
      <c r="Q29" s="785">
        <v>102</v>
      </c>
      <c r="R29" s="785">
        <v>169</v>
      </c>
      <c r="S29" s="785">
        <v>382</v>
      </c>
      <c r="T29" s="785">
        <v>91</v>
      </c>
      <c r="U29" s="785">
        <v>113</v>
      </c>
      <c r="V29" s="785">
        <v>82</v>
      </c>
      <c r="W29" s="785">
        <v>133</v>
      </c>
      <c r="X29" s="322">
        <v>1484</v>
      </c>
      <c r="Y29" s="322">
        <v>1823</v>
      </c>
      <c r="Z29" s="785">
        <v>31</v>
      </c>
      <c r="AA29" s="785">
        <v>32</v>
      </c>
      <c r="AB29" s="353" t="s">
        <v>1332</v>
      </c>
    </row>
    <row r="30" spans="1:30" s="177" customFormat="1" ht="17.45" customHeight="1">
      <c r="A30" s="1415" t="s">
        <v>1471</v>
      </c>
      <c r="B30" s="237">
        <v>2710</v>
      </c>
      <c r="C30" s="237">
        <v>2657</v>
      </c>
      <c r="D30" s="280">
        <v>13993</v>
      </c>
      <c r="E30" s="280">
        <v>14035</v>
      </c>
      <c r="F30" s="280">
        <v>19576</v>
      </c>
      <c r="G30" s="280">
        <v>12008</v>
      </c>
      <c r="H30" s="280">
        <v>1099</v>
      </c>
      <c r="I30" s="280">
        <v>868</v>
      </c>
      <c r="J30" s="237">
        <v>3639</v>
      </c>
      <c r="K30" s="237">
        <v>223</v>
      </c>
      <c r="L30" s="237">
        <v>352</v>
      </c>
      <c r="M30" s="237">
        <v>760</v>
      </c>
      <c r="N30" s="283" t="s">
        <v>1471</v>
      </c>
      <c r="O30" s="1415" t="s">
        <v>1471</v>
      </c>
      <c r="P30" s="237">
        <v>34</v>
      </c>
      <c r="Q30" s="237">
        <v>93</v>
      </c>
      <c r="R30" s="237">
        <v>177</v>
      </c>
      <c r="S30" s="237">
        <v>386</v>
      </c>
      <c r="T30" s="237">
        <v>89</v>
      </c>
      <c r="U30" s="237">
        <v>105</v>
      </c>
      <c r="V30" s="237">
        <v>78</v>
      </c>
      <c r="W30" s="237">
        <v>133</v>
      </c>
      <c r="X30" s="280">
        <v>1601</v>
      </c>
      <c r="Y30" s="280">
        <v>1874</v>
      </c>
      <c r="Z30" s="237">
        <v>31</v>
      </c>
      <c r="AA30" s="237">
        <v>32</v>
      </c>
      <c r="AB30" s="283" t="s">
        <v>1471</v>
      </c>
    </row>
    <row r="31" spans="1:30" s="177" customFormat="1" ht="17.45" customHeight="1">
      <c r="A31" s="1416" t="s">
        <v>1600</v>
      </c>
      <c r="B31" s="785">
        <v>2775</v>
      </c>
      <c r="C31" s="785">
        <v>2731</v>
      </c>
      <c r="D31" s="322">
        <v>14055</v>
      </c>
      <c r="E31" s="322">
        <v>13892</v>
      </c>
      <c r="F31" s="322">
        <v>19561</v>
      </c>
      <c r="G31" s="322">
        <v>11832</v>
      </c>
      <c r="H31" s="322">
        <v>1017</v>
      </c>
      <c r="I31" s="322">
        <v>816</v>
      </c>
      <c r="J31" s="785">
        <v>3142</v>
      </c>
      <c r="K31" s="785">
        <v>200</v>
      </c>
      <c r="L31" s="785">
        <v>312</v>
      </c>
      <c r="M31" s="785">
        <v>667</v>
      </c>
      <c r="N31" s="353" t="s">
        <v>1600</v>
      </c>
      <c r="O31" s="1416" t="s">
        <v>1600</v>
      </c>
      <c r="P31" s="785">
        <v>34</v>
      </c>
      <c r="Q31" s="785">
        <v>102</v>
      </c>
      <c r="R31" s="785">
        <v>175</v>
      </c>
      <c r="S31" s="785">
        <v>352</v>
      </c>
      <c r="T31" s="785">
        <v>129</v>
      </c>
      <c r="U31" s="785">
        <v>147</v>
      </c>
      <c r="V31" s="785">
        <v>91</v>
      </c>
      <c r="W31" s="785">
        <v>133</v>
      </c>
      <c r="X31" s="322">
        <v>1544</v>
      </c>
      <c r="Y31" s="322">
        <v>1852</v>
      </c>
      <c r="Z31" s="785">
        <v>100</v>
      </c>
      <c r="AA31" s="785">
        <v>31</v>
      </c>
      <c r="AB31" s="353" t="s">
        <v>1600</v>
      </c>
    </row>
    <row r="32" spans="1:30" s="177" customFormat="1" ht="17.45" customHeight="1">
      <c r="A32" s="1415" t="s">
        <v>1695</v>
      </c>
      <c r="B32" s="237">
        <v>2755</v>
      </c>
      <c r="C32" s="237">
        <v>2706</v>
      </c>
      <c r="D32" s="280">
        <v>14203</v>
      </c>
      <c r="E32" s="280">
        <v>13739</v>
      </c>
      <c r="F32" s="280">
        <v>19646</v>
      </c>
      <c r="G32" s="280">
        <v>11767</v>
      </c>
      <c r="H32" s="280">
        <v>1029</v>
      </c>
      <c r="I32" s="280">
        <v>821</v>
      </c>
      <c r="J32" s="237">
        <v>3683</v>
      </c>
      <c r="K32" s="237">
        <v>213</v>
      </c>
      <c r="L32" s="237">
        <v>358</v>
      </c>
      <c r="M32" s="237">
        <v>763</v>
      </c>
      <c r="N32" s="283" t="s">
        <v>1695</v>
      </c>
      <c r="O32" s="1415" t="s">
        <v>1695</v>
      </c>
      <c r="P32" s="237">
        <v>37</v>
      </c>
      <c r="Q32" s="237">
        <v>109</v>
      </c>
      <c r="R32" s="237">
        <v>177</v>
      </c>
      <c r="S32" s="237">
        <v>349</v>
      </c>
      <c r="T32" s="237">
        <v>86</v>
      </c>
      <c r="U32" s="237">
        <v>100</v>
      </c>
      <c r="V32" s="237">
        <v>90</v>
      </c>
      <c r="W32" s="237">
        <v>147</v>
      </c>
      <c r="X32" s="280">
        <v>1448</v>
      </c>
      <c r="Y32" s="280">
        <v>1679</v>
      </c>
      <c r="Z32" s="237">
        <v>98</v>
      </c>
      <c r="AA32" s="237">
        <v>30</v>
      </c>
      <c r="AB32" s="283" t="s">
        <v>1695</v>
      </c>
      <c r="AD32" s="902"/>
    </row>
    <row r="33" spans="1:30" s="177" customFormat="1" ht="17.45" customHeight="1">
      <c r="A33" s="1428" t="s">
        <v>1764</v>
      </c>
      <c r="B33" s="785">
        <v>3285</v>
      </c>
      <c r="C33" s="785">
        <v>3225</v>
      </c>
      <c r="D33" s="322">
        <v>14438</v>
      </c>
      <c r="E33" s="322">
        <v>13854</v>
      </c>
      <c r="F33" s="322">
        <v>19885</v>
      </c>
      <c r="G33" s="322">
        <v>11828</v>
      </c>
      <c r="H33" s="322">
        <v>1085</v>
      </c>
      <c r="I33" s="322">
        <v>813</v>
      </c>
      <c r="J33" s="785">
        <v>3333</v>
      </c>
      <c r="K33" s="785">
        <v>192</v>
      </c>
      <c r="L33" s="785">
        <v>397</v>
      </c>
      <c r="M33" s="785">
        <v>814</v>
      </c>
      <c r="N33" s="353" t="s">
        <v>1764</v>
      </c>
      <c r="O33" s="1428" t="s">
        <v>1764</v>
      </c>
      <c r="P33" s="785">
        <v>41</v>
      </c>
      <c r="Q33" s="785">
        <v>109</v>
      </c>
      <c r="R33" s="785">
        <v>186</v>
      </c>
      <c r="S33" s="785">
        <v>361</v>
      </c>
      <c r="T33" s="785">
        <v>89</v>
      </c>
      <c r="U33" s="785">
        <v>100</v>
      </c>
      <c r="V33" s="785">
        <v>90</v>
      </c>
      <c r="W33" s="785">
        <v>136</v>
      </c>
      <c r="X33" s="322">
        <v>1391</v>
      </c>
      <c r="Y33" s="322">
        <v>1686</v>
      </c>
      <c r="Z33" s="785">
        <v>72</v>
      </c>
      <c r="AA33" s="785">
        <v>31</v>
      </c>
      <c r="AB33" s="353" t="s">
        <v>1764</v>
      </c>
      <c r="AC33" s="902"/>
    </row>
    <row r="34" spans="1:30" s="177" customFormat="1" ht="17.45" customHeight="1" thickBot="1">
      <c r="A34" s="511" t="s">
        <v>2436</v>
      </c>
      <c r="B34" s="1170">
        <v>3001</v>
      </c>
      <c r="C34" s="1170">
        <v>2864</v>
      </c>
      <c r="D34" s="1398">
        <v>14958</v>
      </c>
      <c r="E34" s="1398">
        <v>14132</v>
      </c>
      <c r="F34" s="1398" t="s">
        <v>306</v>
      </c>
      <c r="G34" s="1398" t="s">
        <v>306</v>
      </c>
      <c r="H34" s="1398">
        <v>1086</v>
      </c>
      <c r="I34" s="1398">
        <v>778</v>
      </c>
      <c r="J34" s="1170">
        <v>3087</v>
      </c>
      <c r="K34" s="1170">
        <v>179</v>
      </c>
      <c r="L34" s="1170">
        <v>410</v>
      </c>
      <c r="M34" s="1170">
        <v>817</v>
      </c>
      <c r="N34" s="1422" t="s">
        <v>2436</v>
      </c>
      <c r="O34" s="511" t="s">
        <v>2436</v>
      </c>
      <c r="P34" s="1170">
        <v>42</v>
      </c>
      <c r="Q34" s="1170">
        <v>114</v>
      </c>
      <c r="R34" s="1170">
        <v>191</v>
      </c>
      <c r="S34" s="1170">
        <v>357</v>
      </c>
      <c r="T34" s="1170">
        <v>92</v>
      </c>
      <c r="U34" s="1170">
        <v>100</v>
      </c>
      <c r="V34" s="1170">
        <v>98</v>
      </c>
      <c r="W34" s="1170">
        <v>140</v>
      </c>
      <c r="X34" s="1398">
        <v>1518</v>
      </c>
      <c r="Y34" s="1398">
        <v>1783</v>
      </c>
      <c r="Z34" s="1170" t="s">
        <v>306</v>
      </c>
      <c r="AA34" s="1170">
        <v>30</v>
      </c>
      <c r="AB34" s="1422" t="s">
        <v>2436</v>
      </c>
      <c r="AC34" s="902"/>
    </row>
    <row r="35" spans="1:30" ht="12.75" customHeight="1">
      <c r="A35" s="2107" t="s">
        <v>1371</v>
      </c>
      <c r="B35" s="2107"/>
      <c r="C35" s="2107"/>
      <c r="D35" s="2107"/>
      <c r="E35" s="2107"/>
      <c r="F35" s="2108"/>
      <c r="G35" s="2108"/>
      <c r="H35" s="2108" t="s">
        <v>2100</v>
      </c>
      <c r="I35" s="2108"/>
      <c r="J35" s="2108"/>
      <c r="K35" s="2108"/>
      <c r="L35" s="2108"/>
      <c r="M35" s="2108"/>
      <c r="O35" s="2106" t="s">
        <v>1372</v>
      </c>
      <c r="P35" s="2106"/>
      <c r="Q35" s="2106"/>
      <c r="R35" s="2106"/>
      <c r="S35" s="2106"/>
      <c r="T35" s="2106"/>
      <c r="U35" s="2106"/>
      <c r="V35" s="2106" t="s">
        <v>2100</v>
      </c>
      <c r="W35" s="2106"/>
      <c r="X35" s="2106"/>
      <c r="Y35" s="2106"/>
      <c r="Z35" s="2106"/>
      <c r="AA35" s="2106"/>
      <c r="AD35" s="1048"/>
    </row>
    <row r="36" spans="1:30">
      <c r="A36" s="266"/>
      <c r="B36" s="7" t="s">
        <v>1771</v>
      </c>
      <c r="C36" s="7"/>
      <c r="E36" s="1434"/>
      <c r="F36" s="1048"/>
      <c r="H36" s="1048"/>
      <c r="K36" s="1048"/>
      <c r="M36" s="1048"/>
      <c r="R36" s="1048"/>
      <c r="S36" s="1048"/>
      <c r="T36" s="1048"/>
      <c r="U36" s="1280"/>
      <c r="W36" s="1048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48"/>
      <c r="G45" s="1048"/>
      <c r="J45" s="1048"/>
      <c r="K45" s="1048"/>
      <c r="L45" s="1048"/>
      <c r="M45" s="1048"/>
      <c r="P45" s="1048"/>
      <c r="Q45" s="1048"/>
      <c r="R45" s="1048"/>
      <c r="S45" s="1048"/>
      <c r="T45" s="1048"/>
      <c r="U45" s="1048"/>
      <c r="V45" s="1048"/>
      <c r="W45" s="1048"/>
      <c r="AA45" s="1048"/>
      <c r="AB45" s="1048"/>
    </row>
    <row r="46" spans="1:30">
      <c r="H46" s="1048"/>
      <c r="I46" s="1048"/>
      <c r="J46" s="1048"/>
      <c r="K46" s="1048"/>
      <c r="L46" s="1048"/>
      <c r="P46" s="1048"/>
      <c r="Q46" s="1048"/>
      <c r="T46" s="1048"/>
      <c r="W46" s="1048"/>
      <c r="Y46" s="1048"/>
    </row>
    <row r="47" spans="1:30">
      <c r="E47" s="1048"/>
    </row>
    <row r="49" spans="28:28">
      <c r="AB49" s="104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45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7"/>
  <sheetViews>
    <sheetView zoomScale="172" zoomScaleNormal="172" workbookViewId="0">
      <pane xSplit="1" ySplit="4" topLeftCell="H41" activePane="bottomRight" state="frozen"/>
      <selection activeCell="F85" sqref="F85"/>
      <selection pane="topRight" activeCell="F85" sqref="F85"/>
      <selection pane="bottomLeft" activeCell="F85" sqref="F85"/>
      <selection pane="bottomRight" activeCell="N51" sqref="N51"/>
    </sheetView>
  </sheetViews>
  <sheetFormatPr defaultColWidth="5.85546875" defaultRowHeight="9"/>
  <cols>
    <col min="1" max="1" width="11.140625" style="243" customWidth="1"/>
    <col min="2" max="2" width="10.7109375" style="243" customWidth="1"/>
    <col min="3" max="3" width="11.85546875" style="243" customWidth="1"/>
    <col min="4" max="4" width="10.5703125" style="243" customWidth="1"/>
    <col min="5" max="5" width="10.140625" style="243" customWidth="1"/>
    <col min="6" max="6" width="12.7109375" style="243" customWidth="1"/>
    <col min="7" max="7" width="10" style="243" customWidth="1"/>
    <col min="8" max="8" width="11.5703125" style="243" customWidth="1"/>
    <col min="9" max="9" width="10" style="243" customWidth="1"/>
    <col min="10" max="10" width="9.7109375" style="243" customWidth="1"/>
    <col min="11" max="11" width="10.42578125" style="243" customWidth="1"/>
    <col min="12" max="12" width="8.85546875" style="243" customWidth="1"/>
    <col min="13" max="13" width="9" style="243" customWidth="1"/>
    <col min="14" max="14" width="9.28515625" style="243" customWidth="1"/>
    <col min="15" max="15" width="10" style="243" customWidth="1"/>
    <col min="16" max="16" width="5.85546875" style="243"/>
    <col min="17" max="17" width="6.140625" style="243" bestFit="1" customWidth="1"/>
    <col min="18" max="16384" width="5.85546875" style="243"/>
  </cols>
  <sheetData>
    <row r="1" spans="1:15" s="179" customFormat="1" ht="14.25" customHeight="1">
      <c r="C1" s="1926" t="s">
        <v>122</v>
      </c>
      <c r="D1" s="1926"/>
      <c r="E1" s="1926"/>
      <c r="F1" s="1926"/>
      <c r="G1" s="1926"/>
      <c r="H1" s="513" t="s">
        <v>114</v>
      </c>
      <c r="I1" s="513"/>
      <c r="J1" s="513"/>
      <c r="K1" s="514"/>
      <c r="L1" s="514"/>
      <c r="M1" s="514"/>
      <c r="N1" s="1926" t="s">
        <v>1200</v>
      </c>
      <c r="O1" s="1926"/>
    </row>
    <row r="2" spans="1:15" s="182" customFormat="1" ht="12.75" customHeight="1">
      <c r="G2" s="1666" t="s">
        <v>151</v>
      </c>
      <c r="H2" s="2117" t="s">
        <v>150</v>
      </c>
      <c r="I2" s="2117"/>
      <c r="J2" s="2117"/>
    </row>
    <row r="3" spans="1:15" s="184" customFormat="1" ht="26.25" customHeight="1">
      <c r="A3" s="2121" t="s">
        <v>527</v>
      </c>
      <c r="B3" s="1663" t="s">
        <v>621</v>
      </c>
      <c r="C3" s="1663" t="s">
        <v>622</v>
      </c>
      <c r="D3" s="1665" t="s">
        <v>542</v>
      </c>
      <c r="E3" s="1665" t="s">
        <v>623</v>
      </c>
      <c r="F3" s="1665" t="s">
        <v>543</v>
      </c>
      <c r="G3" s="1663" t="s">
        <v>257</v>
      </c>
      <c r="H3" s="1664" t="s">
        <v>256</v>
      </c>
      <c r="I3" s="1665" t="s">
        <v>634</v>
      </c>
      <c r="J3" s="1665" t="s">
        <v>624</v>
      </c>
      <c r="K3" s="1665" t="s">
        <v>545</v>
      </c>
      <c r="L3" s="1732" t="s">
        <v>2702</v>
      </c>
      <c r="M3" s="1663" t="s">
        <v>1403</v>
      </c>
      <c r="N3" s="1665" t="s">
        <v>546</v>
      </c>
      <c r="O3" s="2118" t="s">
        <v>527</v>
      </c>
    </row>
    <row r="4" spans="1:15" s="184" customFormat="1" ht="25.5" customHeight="1">
      <c r="A4" s="2121"/>
      <c r="B4" s="1663" t="s">
        <v>1012</v>
      </c>
      <c r="C4" s="1663" t="s">
        <v>1011</v>
      </c>
      <c r="D4" s="1663" t="s">
        <v>1013</v>
      </c>
      <c r="E4" s="1663" t="s">
        <v>1013</v>
      </c>
      <c r="F4" s="1663" t="s">
        <v>1014</v>
      </c>
      <c r="G4" s="1663" t="s">
        <v>1015</v>
      </c>
      <c r="H4" s="1664" t="s">
        <v>1018</v>
      </c>
      <c r="I4" s="1663" t="s">
        <v>1015</v>
      </c>
      <c r="J4" s="1663" t="s">
        <v>1015</v>
      </c>
      <c r="K4" s="1663" t="s">
        <v>1017</v>
      </c>
      <c r="L4" s="515" t="s">
        <v>245</v>
      </c>
      <c r="M4" s="1663" t="s">
        <v>1015</v>
      </c>
      <c r="N4" s="1663" t="s">
        <v>1016</v>
      </c>
      <c r="O4" s="2051"/>
    </row>
    <row r="5" spans="1:15" s="177" customFormat="1" ht="12.2" customHeight="1">
      <c r="A5" s="175" t="s">
        <v>81</v>
      </c>
      <c r="B5" s="151">
        <v>1006.35</v>
      </c>
      <c r="C5" s="29">
        <v>52975</v>
      </c>
      <c r="D5" s="29">
        <v>18676</v>
      </c>
      <c r="E5" s="29" t="s">
        <v>306</v>
      </c>
      <c r="F5" s="29">
        <v>236790</v>
      </c>
      <c r="G5" s="29">
        <v>76918</v>
      </c>
      <c r="H5" s="280">
        <v>156528</v>
      </c>
      <c r="I5" s="280">
        <v>62203</v>
      </c>
      <c r="J5" s="280">
        <v>1138644</v>
      </c>
      <c r="K5" s="280" t="s">
        <v>306</v>
      </c>
      <c r="L5" s="280">
        <v>2021</v>
      </c>
      <c r="M5" s="280" t="s">
        <v>306</v>
      </c>
      <c r="N5" s="280">
        <v>13330</v>
      </c>
      <c r="O5" s="228" t="s">
        <v>81</v>
      </c>
    </row>
    <row r="6" spans="1:15" s="175" customFormat="1" ht="12.2" customHeight="1">
      <c r="A6" s="332" t="s">
        <v>199</v>
      </c>
      <c r="B6" s="329">
        <v>1030</v>
      </c>
      <c r="C6" s="329">
        <v>56181</v>
      </c>
      <c r="D6" s="329">
        <v>20241</v>
      </c>
      <c r="E6" s="326" t="s">
        <v>306</v>
      </c>
      <c r="F6" s="329">
        <v>234510</v>
      </c>
      <c r="G6" s="329">
        <v>76970</v>
      </c>
      <c r="H6" s="324">
        <v>154384</v>
      </c>
      <c r="I6" s="324">
        <v>100963</v>
      </c>
      <c r="J6" s="324">
        <v>1011941</v>
      </c>
      <c r="K6" s="322" t="s">
        <v>306</v>
      </c>
      <c r="L6" s="324">
        <v>1898</v>
      </c>
      <c r="M6" s="322" t="s">
        <v>306</v>
      </c>
      <c r="N6" s="324">
        <v>14143</v>
      </c>
      <c r="O6" s="333" t="s">
        <v>199</v>
      </c>
    </row>
    <row r="7" spans="1:15" s="175" customFormat="1" ht="12.2" customHeight="1">
      <c r="A7" s="175" t="s">
        <v>792</v>
      </c>
      <c r="B7" s="151">
        <v>955.09444444444443</v>
      </c>
      <c r="C7" s="151">
        <v>56546</v>
      </c>
      <c r="D7" s="151">
        <v>20740</v>
      </c>
      <c r="E7" s="29" t="s">
        <v>306</v>
      </c>
      <c r="F7" s="151">
        <v>315050</v>
      </c>
      <c r="G7" s="151">
        <v>113765</v>
      </c>
      <c r="H7" s="422">
        <v>162407</v>
      </c>
      <c r="I7" s="422">
        <v>63309</v>
      </c>
      <c r="J7" s="422">
        <v>1036947</v>
      </c>
      <c r="K7" s="280" t="s">
        <v>306</v>
      </c>
      <c r="L7" s="422">
        <v>1442</v>
      </c>
      <c r="M7" s="280" t="s">
        <v>306</v>
      </c>
      <c r="N7" s="422">
        <v>18148</v>
      </c>
      <c r="O7" s="228" t="s">
        <v>792</v>
      </c>
    </row>
    <row r="8" spans="1:15" s="175" customFormat="1" ht="12.2" customHeight="1">
      <c r="A8" s="332" t="s">
        <v>908</v>
      </c>
      <c r="B8" s="329">
        <v>970.12777777777774</v>
      </c>
      <c r="C8" s="329">
        <v>56949</v>
      </c>
      <c r="D8" s="329">
        <v>17774</v>
      </c>
      <c r="E8" s="326" t="s">
        <v>306</v>
      </c>
      <c r="F8" s="329">
        <v>262620</v>
      </c>
      <c r="G8" s="329">
        <v>313265</v>
      </c>
      <c r="H8" s="324">
        <v>194048</v>
      </c>
      <c r="I8" s="324">
        <v>107133</v>
      </c>
      <c r="J8" s="324">
        <v>1074791</v>
      </c>
      <c r="K8" s="322" t="s">
        <v>306</v>
      </c>
      <c r="L8" s="324">
        <v>2364</v>
      </c>
      <c r="M8" s="322" t="s">
        <v>306</v>
      </c>
      <c r="N8" s="324">
        <v>20989</v>
      </c>
      <c r="O8" s="333" t="s">
        <v>908</v>
      </c>
    </row>
    <row r="9" spans="1:15" s="175" customFormat="1" ht="12.2" customHeight="1">
      <c r="A9" s="175" t="s">
        <v>1108</v>
      </c>
      <c r="B9" s="151">
        <v>974.33888888888885</v>
      </c>
      <c r="C9" s="151">
        <v>57386</v>
      </c>
      <c r="D9" s="151">
        <v>13098</v>
      </c>
      <c r="E9" s="29" t="s">
        <v>306</v>
      </c>
      <c r="F9" s="151">
        <v>283130</v>
      </c>
      <c r="G9" s="151">
        <v>352115</v>
      </c>
      <c r="H9" s="422">
        <v>209106</v>
      </c>
      <c r="I9" s="422">
        <v>128268</v>
      </c>
      <c r="J9" s="422">
        <v>976691</v>
      </c>
      <c r="K9" s="422" t="s">
        <v>306</v>
      </c>
      <c r="L9" s="422">
        <v>2009</v>
      </c>
      <c r="M9" s="422" t="s">
        <v>306</v>
      </c>
      <c r="N9" s="422">
        <v>20813</v>
      </c>
      <c r="O9" s="228" t="s">
        <v>1108</v>
      </c>
    </row>
    <row r="10" spans="1:15" s="175" customFormat="1" ht="12.2" customHeight="1">
      <c r="A10" s="332" t="s">
        <v>1167</v>
      </c>
      <c r="B10" s="324">
        <v>780.2166666666667</v>
      </c>
      <c r="C10" s="324">
        <v>44692</v>
      </c>
      <c r="D10" s="324">
        <v>12660</v>
      </c>
      <c r="E10" s="324" t="s">
        <v>306</v>
      </c>
      <c r="F10" s="324">
        <v>264850</v>
      </c>
      <c r="G10" s="324">
        <v>609045</v>
      </c>
      <c r="H10" s="324">
        <v>298939</v>
      </c>
      <c r="I10" s="324">
        <v>77450</v>
      </c>
      <c r="J10" s="324">
        <v>1028157</v>
      </c>
      <c r="K10" s="324" t="s">
        <v>306</v>
      </c>
      <c r="L10" s="324">
        <v>1529</v>
      </c>
      <c r="M10" s="324" t="s">
        <v>306</v>
      </c>
      <c r="N10" s="324">
        <v>18935</v>
      </c>
      <c r="O10" s="333" t="s">
        <v>1167</v>
      </c>
    </row>
    <row r="11" spans="1:15" s="175" customFormat="1" ht="12.2" customHeight="1">
      <c r="A11" s="175" t="s">
        <v>1299</v>
      </c>
      <c r="B11" s="422">
        <v>892</v>
      </c>
      <c r="C11" s="422">
        <v>47444</v>
      </c>
      <c r="D11" s="422">
        <v>10577</v>
      </c>
      <c r="E11" s="280" t="s">
        <v>306</v>
      </c>
      <c r="F11" s="422">
        <v>224210</v>
      </c>
      <c r="G11" s="422">
        <v>728260</v>
      </c>
      <c r="H11" s="422">
        <v>278952</v>
      </c>
      <c r="I11" s="422">
        <v>58219.3</v>
      </c>
      <c r="J11" s="422">
        <v>1010446</v>
      </c>
      <c r="K11" s="280" t="s">
        <v>306</v>
      </c>
      <c r="L11" s="422">
        <v>1363</v>
      </c>
      <c r="M11" s="280" t="s">
        <v>306</v>
      </c>
      <c r="N11" s="422">
        <v>19506</v>
      </c>
      <c r="O11" s="228" t="s">
        <v>1299</v>
      </c>
    </row>
    <row r="12" spans="1:15" s="175" customFormat="1" ht="12.2" customHeight="1">
      <c r="A12" s="332" t="s">
        <v>1332</v>
      </c>
      <c r="B12" s="324">
        <v>898</v>
      </c>
      <c r="C12" s="324">
        <v>47060</v>
      </c>
      <c r="D12" s="324">
        <v>6777</v>
      </c>
      <c r="E12" s="322" t="s">
        <v>306</v>
      </c>
      <c r="F12" s="324">
        <v>175730</v>
      </c>
      <c r="G12" s="324">
        <v>657966</v>
      </c>
      <c r="H12" s="324">
        <v>348931</v>
      </c>
      <c r="I12" s="324">
        <v>59984.55</v>
      </c>
      <c r="J12" s="324">
        <v>1089418.05</v>
      </c>
      <c r="K12" s="322" t="s">
        <v>306</v>
      </c>
      <c r="L12" s="324">
        <v>1333</v>
      </c>
      <c r="M12" s="322" t="s">
        <v>306</v>
      </c>
      <c r="N12" s="324">
        <v>22827</v>
      </c>
      <c r="O12" s="333" t="s">
        <v>1332</v>
      </c>
    </row>
    <row r="13" spans="1:15" s="175" customFormat="1" ht="12.2" customHeight="1">
      <c r="A13" s="175" t="s">
        <v>1471</v>
      </c>
      <c r="B13" s="422">
        <v>932</v>
      </c>
      <c r="C13" s="422">
        <v>42447</v>
      </c>
      <c r="D13" s="422">
        <v>3182</v>
      </c>
      <c r="E13" s="280" t="s">
        <v>306</v>
      </c>
      <c r="F13" s="422">
        <v>156600</v>
      </c>
      <c r="G13" s="422">
        <v>1001358</v>
      </c>
      <c r="H13" s="422">
        <v>408516</v>
      </c>
      <c r="I13" s="422">
        <v>68602.5</v>
      </c>
      <c r="J13" s="422">
        <v>913965</v>
      </c>
      <c r="K13" s="280" t="s">
        <v>306</v>
      </c>
      <c r="L13" s="422">
        <v>1629</v>
      </c>
      <c r="M13" s="280" t="s">
        <v>306</v>
      </c>
      <c r="N13" s="422">
        <v>25124</v>
      </c>
      <c r="O13" s="228" t="s">
        <v>1471</v>
      </c>
    </row>
    <row r="14" spans="1:15" s="175" customFormat="1" ht="12.2" customHeight="1">
      <c r="A14" s="332" t="s">
        <v>1600</v>
      </c>
      <c r="B14" s="324">
        <v>1004</v>
      </c>
      <c r="C14" s="324">
        <v>41744</v>
      </c>
      <c r="D14" s="324">
        <v>5635</v>
      </c>
      <c r="E14" s="322" t="s">
        <v>306</v>
      </c>
      <c r="F14" s="324">
        <v>152810</v>
      </c>
      <c r="G14" s="324">
        <v>1082720</v>
      </c>
      <c r="H14" s="324">
        <v>359883</v>
      </c>
      <c r="I14" s="324">
        <v>68953.100000000006</v>
      </c>
      <c r="J14" s="324">
        <v>923425</v>
      </c>
      <c r="K14" s="322" t="s">
        <v>306</v>
      </c>
      <c r="L14" s="324">
        <v>1431</v>
      </c>
      <c r="M14" s="322" t="s">
        <v>306</v>
      </c>
      <c r="N14" s="324">
        <v>34653</v>
      </c>
      <c r="O14" s="333" t="s">
        <v>1600</v>
      </c>
    </row>
    <row r="15" spans="1:15" s="175" customFormat="1" ht="12.2" customHeight="1">
      <c r="A15" s="204" t="s">
        <v>1695</v>
      </c>
      <c r="B15" s="375">
        <v>1241</v>
      </c>
      <c r="C15" s="375">
        <v>35782</v>
      </c>
      <c r="D15" s="375">
        <v>7220</v>
      </c>
      <c r="E15" s="422" t="s">
        <v>306</v>
      </c>
      <c r="F15" s="375">
        <v>161860</v>
      </c>
      <c r="G15" s="375">
        <v>1088705</v>
      </c>
      <c r="H15" s="375">
        <v>430242</v>
      </c>
      <c r="I15" s="375">
        <v>82140.45</v>
      </c>
      <c r="J15" s="375">
        <v>1100799</v>
      </c>
      <c r="K15" s="280" t="s">
        <v>306</v>
      </c>
      <c r="L15" s="375">
        <v>1021</v>
      </c>
      <c r="M15" s="280" t="s">
        <v>306</v>
      </c>
      <c r="N15" s="375">
        <v>44264</v>
      </c>
      <c r="O15" s="516" t="s">
        <v>1695</v>
      </c>
    </row>
    <row r="16" spans="1:15" s="175" customFormat="1" ht="12.2" customHeight="1">
      <c r="A16" s="334" t="s">
        <v>1764</v>
      </c>
      <c r="B16" s="533">
        <f>SUM(B17:B28)</f>
        <v>1472</v>
      </c>
      <c r="C16" s="533">
        <f t="shared" ref="C16:D16" si="0">SUM(C17:C28)</f>
        <v>39495</v>
      </c>
      <c r="D16" s="590">
        <f t="shared" si="0"/>
        <v>6027</v>
      </c>
      <c r="E16" s="590" t="s">
        <v>306</v>
      </c>
      <c r="F16" s="533">
        <f t="shared" ref="F16:J16" si="1">SUM(F17:F28)</f>
        <v>154030</v>
      </c>
      <c r="G16" s="533">
        <f t="shared" si="1"/>
        <v>987319</v>
      </c>
      <c r="H16" s="533">
        <f t="shared" si="1"/>
        <v>332939</v>
      </c>
      <c r="I16" s="533">
        <f t="shared" si="1"/>
        <v>48134</v>
      </c>
      <c r="J16" s="533">
        <f t="shared" si="1"/>
        <v>1205833</v>
      </c>
      <c r="K16" s="590" t="s">
        <v>629</v>
      </c>
      <c r="L16" s="590">
        <f>SUM(L17:L28)</f>
        <v>100</v>
      </c>
      <c r="M16" s="590" t="s">
        <v>629</v>
      </c>
      <c r="N16" s="533">
        <f>SUM(N17:N28)</f>
        <v>45323</v>
      </c>
      <c r="O16" s="335" t="s">
        <v>1764</v>
      </c>
    </row>
    <row r="17" spans="1:15" s="175" customFormat="1" ht="12.2" customHeight="1">
      <c r="A17" s="175" t="s">
        <v>606</v>
      </c>
      <c r="B17" s="280">
        <v>114</v>
      </c>
      <c r="C17" s="280">
        <v>3014</v>
      </c>
      <c r="D17" s="280">
        <v>758</v>
      </c>
      <c r="E17" s="280" t="s">
        <v>306</v>
      </c>
      <c r="F17" s="280">
        <v>12450</v>
      </c>
      <c r="G17" s="280">
        <v>103725</v>
      </c>
      <c r="H17" s="280">
        <v>27542</v>
      </c>
      <c r="I17" s="422">
        <v>0</v>
      </c>
      <c r="J17" s="422">
        <v>84478</v>
      </c>
      <c r="K17" s="280" t="s">
        <v>306</v>
      </c>
      <c r="L17" s="280">
        <v>100</v>
      </c>
      <c r="M17" s="280" t="s">
        <v>306</v>
      </c>
      <c r="N17" s="280">
        <v>4182</v>
      </c>
      <c r="O17" s="228" t="s">
        <v>606</v>
      </c>
    </row>
    <row r="18" spans="1:15" s="175" customFormat="1" ht="12.2" customHeight="1">
      <c r="A18" s="332" t="s">
        <v>607</v>
      </c>
      <c r="B18" s="322">
        <v>115</v>
      </c>
      <c r="C18" s="322">
        <v>3417</v>
      </c>
      <c r="D18" s="322">
        <v>482</v>
      </c>
      <c r="E18" s="322" t="s">
        <v>306</v>
      </c>
      <c r="F18" s="322">
        <v>12400</v>
      </c>
      <c r="G18" s="322">
        <v>70431</v>
      </c>
      <c r="H18" s="322">
        <v>29134</v>
      </c>
      <c r="I18" s="324">
        <v>0</v>
      </c>
      <c r="J18" s="324">
        <v>101209</v>
      </c>
      <c r="K18" s="322" t="s">
        <v>306</v>
      </c>
      <c r="L18" s="322">
        <v>0</v>
      </c>
      <c r="M18" s="322" t="s">
        <v>306</v>
      </c>
      <c r="N18" s="322">
        <v>4224</v>
      </c>
      <c r="O18" s="333" t="s">
        <v>607</v>
      </c>
    </row>
    <row r="19" spans="1:15" s="175" customFormat="1" ht="12.2" customHeight="1">
      <c r="A19" s="175" t="s">
        <v>601</v>
      </c>
      <c r="B19" s="280">
        <v>117</v>
      </c>
      <c r="C19" s="280">
        <v>4201</v>
      </c>
      <c r="D19" s="280">
        <v>600</v>
      </c>
      <c r="E19" s="280" t="s">
        <v>306</v>
      </c>
      <c r="F19" s="280">
        <v>12800</v>
      </c>
      <c r="G19" s="280">
        <v>89521</v>
      </c>
      <c r="H19" s="280">
        <v>31247</v>
      </c>
      <c r="I19" s="422">
        <v>0</v>
      </c>
      <c r="J19" s="422">
        <v>104352</v>
      </c>
      <c r="K19" s="280" t="s">
        <v>306</v>
      </c>
      <c r="L19" s="280">
        <v>0</v>
      </c>
      <c r="M19" s="280" t="s">
        <v>306</v>
      </c>
      <c r="N19" s="280">
        <v>4267</v>
      </c>
      <c r="O19" s="228" t="s">
        <v>601</v>
      </c>
    </row>
    <row r="20" spans="1:15" s="175" customFormat="1" ht="12.2" customHeight="1">
      <c r="A20" s="332" t="s">
        <v>608</v>
      </c>
      <c r="B20" s="322">
        <v>117</v>
      </c>
      <c r="C20" s="322">
        <v>4369</v>
      </c>
      <c r="D20" s="322">
        <v>511</v>
      </c>
      <c r="E20" s="322" t="s">
        <v>306</v>
      </c>
      <c r="F20" s="322">
        <v>12850</v>
      </c>
      <c r="G20" s="322">
        <v>59645</v>
      </c>
      <c r="H20" s="322">
        <v>35666</v>
      </c>
      <c r="I20" s="324">
        <v>0</v>
      </c>
      <c r="J20" s="324">
        <v>106255</v>
      </c>
      <c r="K20" s="322" t="s">
        <v>306</v>
      </c>
      <c r="L20" s="322">
        <v>0</v>
      </c>
      <c r="M20" s="322" t="s">
        <v>306</v>
      </c>
      <c r="N20" s="322">
        <v>3406</v>
      </c>
      <c r="O20" s="333" t="s">
        <v>608</v>
      </c>
    </row>
    <row r="21" spans="1:15" s="175" customFormat="1" ht="12.2" customHeight="1">
      <c r="A21" s="175" t="s">
        <v>609</v>
      </c>
      <c r="B21" s="280">
        <v>126</v>
      </c>
      <c r="C21" s="280">
        <v>2989</v>
      </c>
      <c r="D21" s="280">
        <v>508</v>
      </c>
      <c r="E21" s="280" t="s">
        <v>306</v>
      </c>
      <c r="F21" s="280">
        <v>12950</v>
      </c>
      <c r="G21" s="280">
        <v>88365</v>
      </c>
      <c r="H21" s="280">
        <v>31937</v>
      </c>
      <c r="I21" s="422">
        <v>0</v>
      </c>
      <c r="J21" s="422">
        <v>106325</v>
      </c>
      <c r="K21" s="280" t="s">
        <v>306</v>
      </c>
      <c r="L21" s="280">
        <v>0</v>
      </c>
      <c r="M21" s="280" t="s">
        <v>306</v>
      </c>
      <c r="N21" s="280">
        <v>3527</v>
      </c>
      <c r="O21" s="228" t="s">
        <v>609</v>
      </c>
    </row>
    <row r="22" spans="1:15" s="175" customFormat="1" ht="12.2" customHeight="1">
      <c r="A22" s="332" t="s">
        <v>602</v>
      </c>
      <c r="B22" s="322">
        <v>126</v>
      </c>
      <c r="C22" s="322">
        <v>3064</v>
      </c>
      <c r="D22" s="322">
        <v>544</v>
      </c>
      <c r="E22" s="322" t="s">
        <v>306</v>
      </c>
      <c r="F22" s="322">
        <v>12900</v>
      </c>
      <c r="G22" s="322">
        <v>97046</v>
      </c>
      <c r="H22" s="322">
        <v>31944</v>
      </c>
      <c r="I22" s="324">
        <v>7688</v>
      </c>
      <c r="J22" s="324">
        <v>128201</v>
      </c>
      <c r="K22" s="322" t="s">
        <v>306</v>
      </c>
      <c r="L22" s="322">
        <v>0</v>
      </c>
      <c r="M22" s="322" t="s">
        <v>306</v>
      </c>
      <c r="N22" s="322">
        <v>3648</v>
      </c>
      <c r="O22" s="333" t="s">
        <v>602</v>
      </c>
    </row>
    <row r="23" spans="1:15" s="175" customFormat="1" ht="12.2" customHeight="1">
      <c r="A23" s="175" t="s">
        <v>610</v>
      </c>
      <c r="B23" s="280">
        <v>126</v>
      </c>
      <c r="C23" s="280">
        <v>3083</v>
      </c>
      <c r="D23" s="280">
        <v>609</v>
      </c>
      <c r="E23" s="280" t="s">
        <v>306</v>
      </c>
      <c r="F23" s="280">
        <v>12800</v>
      </c>
      <c r="G23" s="280">
        <v>77784</v>
      </c>
      <c r="H23" s="280">
        <v>28438</v>
      </c>
      <c r="I23" s="422">
        <v>19747</v>
      </c>
      <c r="J23" s="422">
        <v>73596</v>
      </c>
      <c r="K23" s="280" t="s">
        <v>306</v>
      </c>
      <c r="L23" s="280">
        <v>0</v>
      </c>
      <c r="M23" s="280" t="s">
        <v>306</v>
      </c>
      <c r="N23" s="280">
        <v>3655</v>
      </c>
      <c r="O23" s="228" t="s">
        <v>610</v>
      </c>
    </row>
    <row r="24" spans="1:15" s="175" customFormat="1" ht="12.2" customHeight="1">
      <c r="A24" s="332" t="s">
        <v>611</v>
      </c>
      <c r="B24" s="322">
        <v>126</v>
      </c>
      <c r="C24" s="322">
        <v>3117</v>
      </c>
      <c r="D24" s="322">
        <v>400</v>
      </c>
      <c r="E24" s="322" t="s">
        <v>306</v>
      </c>
      <c r="F24" s="322">
        <v>12900</v>
      </c>
      <c r="G24" s="322">
        <v>78607</v>
      </c>
      <c r="H24" s="322">
        <v>33831</v>
      </c>
      <c r="I24" s="324">
        <v>14179</v>
      </c>
      <c r="J24" s="324">
        <v>72823</v>
      </c>
      <c r="K24" s="322" t="s">
        <v>306</v>
      </c>
      <c r="L24" s="322">
        <v>0</v>
      </c>
      <c r="M24" s="322" t="s">
        <v>306</v>
      </c>
      <c r="N24" s="322">
        <v>3665</v>
      </c>
      <c r="O24" s="333" t="s">
        <v>611</v>
      </c>
    </row>
    <row r="25" spans="1:15" s="175" customFormat="1" ht="12.2" customHeight="1">
      <c r="A25" s="175" t="s">
        <v>603</v>
      </c>
      <c r="B25" s="280">
        <v>127</v>
      </c>
      <c r="C25" s="280">
        <v>3126</v>
      </c>
      <c r="D25" s="280">
        <v>721</v>
      </c>
      <c r="E25" s="280" t="s">
        <v>306</v>
      </c>
      <c r="F25" s="280">
        <v>12950</v>
      </c>
      <c r="G25" s="280">
        <v>90373</v>
      </c>
      <c r="H25" s="280">
        <v>26261</v>
      </c>
      <c r="I25" s="422">
        <v>5797</v>
      </c>
      <c r="J25" s="422">
        <v>106633</v>
      </c>
      <c r="K25" s="280" t="s">
        <v>306</v>
      </c>
      <c r="L25" s="280">
        <v>0</v>
      </c>
      <c r="M25" s="280" t="s">
        <v>306</v>
      </c>
      <c r="N25" s="280">
        <v>3675</v>
      </c>
      <c r="O25" s="228" t="s">
        <v>603</v>
      </c>
    </row>
    <row r="26" spans="1:15" s="175" customFormat="1" ht="12.2" customHeight="1">
      <c r="A26" s="332" t="s">
        <v>612</v>
      </c>
      <c r="B26" s="322">
        <v>127</v>
      </c>
      <c r="C26" s="322">
        <v>3017</v>
      </c>
      <c r="D26" s="322">
        <v>323</v>
      </c>
      <c r="E26" s="322" t="s">
        <v>306</v>
      </c>
      <c r="F26" s="322">
        <v>13000</v>
      </c>
      <c r="G26" s="322">
        <v>100141</v>
      </c>
      <c r="H26" s="322">
        <v>16162</v>
      </c>
      <c r="I26" s="324">
        <v>671</v>
      </c>
      <c r="J26" s="324">
        <v>117564</v>
      </c>
      <c r="K26" s="322" t="s">
        <v>306</v>
      </c>
      <c r="L26" s="322">
        <v>0</v>
      </c>
      <c r="M26" s="322" t="s">
        <v>306</v>
      </c>
      <c r="N26" s="322">
        <v>3680</v>
      </c>
      <c r="O26" s="333" t="s">
        <v>612</v>
      </c>
    </row>
    <row r="27" spans="1:15" s="175" customFormat="1" ht="12.2" customHeight="1">
      <c r="A27" s="175" t="s">
        <v>613</v>
      </c>
      <c r="B27" s="280">
        <v>127</v>
      </c>
      <c r="C27" s="280">
        <v>3021</v>
      </c>
      <c r="D27" s="280">
        <v>274</v>
      </c>
      <c r="E27" s="280" t="s">
        <v>306</v>
      </c>
      <c r="F27" s="280">
        <v>12980</v>
      </c>
      <c r="G27" s="280">
        <v>56340</v>
      </c>
      <c r="H27" s="280">
        <v>14611</v>
      </c>
      <c r="I27" s="422">
        <v>0</v>
      </c>
      <c r="J27" s="422">
        <v>110842</v>
      </c>
      <c r="K27" s="280" t="s">
        <v>306</v>
      </c>
      <c r="L27" s="280">
        <v>0</v>
      </c>
      <c r="M27" s="280" t="s">
        <v>306</v>
      </c>
      <c r="N27" s="280">
        <v>3695</v>
      </c>
      <c r="O27" s="228" t="s">
        <v>613</v>
      </c>
    </row>
    <row r="28" spans="1:15" s="175" customFormat="1" ht="12.2" customHeight="1">
      <c r="A28" s="332" t="s">
        <v>604</v>
      </c>
      <c r="B28" s="322">
        <v>124</v>
      </c>
      <c r="C28" s="322">
        <v>3077</v>
      </c>
      <c r="D28" s="322">
        <v>297</v>
      </c>
      <c r="E28" s="322" t="s">
        <v>306</v>
      </c>
      <c r="F28" s="322">
        <v>13050</v>
      </c>
      <c r="G28" s="322">
        <v>75341</v>
      </c>
      <c r="H28" s="322">
        <v>26166</v>
      </c>
      <c r="I28" s="324">
        <v>52</v>
      </c>
      <c r="J28" s="324">
        <v>93555</v>
      </c>
      <c r="K28" s="322" t="s">
        <v>306</v>
      </c>
      <c r="L28" s="322">
        <v>0</v>
      </c>
      <c r="M28" s="322" t="s">
        <v>306</v>
      </c>
      <c r="N28" s="322">
        <v>3699</v>
      </c>
      <c r="O28" s="333" t="s">
        <v>604</v>
      </c>
    </row>
    <row r="29" spans="1:15" s="175" customFormat="1" ht="12.2" customHeight="1">
      <c r="A29" s="204" t="s">
        <v>2166</v>
      </c>
      <c r="B29" s="375">
        <f>SUM(B30:B41)</f>
        <v>1479</v>
      </c>
      <c r="C29" s="375">
        <f t="shared" ref="C29:D29" si="2">SUM(C30:C41)</f>
        <v>51854</v>
      </c>
      <c r="D29" s="538">
        <f t="shared" si="2"/>
        <v>2277</v>
      </c>
      <c r="E29" s="538" t="s">
        <v>306</v>
      </c>
      <c r="F29" s="375">
        <f t="shared" ref="F29:J29" si="3">SUM(F30:F41)</f>
        <v>149500</v>
      </c>
      <c r="G29" s="375">
        <f t="shared" si="3"/>
        <v>888610</v>
      </c>
      <c r="H29" s="375">
        <f t="shared" si="3"/>
        <v>429542</v>
      </c>
      <c r="I29" s="375">
        <f t="shared" si="3"/>
        <v>21486</v>
      </c>
      <c r="J29" s="375">
        <f t="shared" si="3"/>
        <v>1197117</v>
      </c>
      <c r="K29" s="538" t="s">
        <v>629</v>
      </c>
      <c r="L29" s="538">
        <f>SUM(L30:L41)</f>
        <v>1368</v>
      </c>
      <c r="M29" s="538" t="s">
        <v>629</v>
      </c>
      <c r="N29" s="375">
        <f>SUM(N30:N41)</f>
        <v>41441</v>
      </c>
      <c r="O29" s="516" t="s">
        <v>2166</v>
      </c>
    </row>
    <row r="30" spans="1:15" s="175" customFormat="1" ht="12.2" customHeight="1">
      <c r="A30" s="332" t="s">
        <v>606</v>
      </c>
      <c r="B30" s="322">
        <v>120</v>
      </c>
      <c r="C30" s="322">
        <v>3416</v>
      </c>
      <c r="D30" s="322">
        <v>181</v>
      </c>
      <c r="E30" s="322" t="s">
        <v>306</v>
      </c>
      <c r="F30" s="322">
        <v>13100</v>
      </c>
      <c r="G30" s="322">
        <v>53644</v>
      </c>
      <c r="H30" s="322">
        <v>26786</v>
      </c>
      <c r="I30" s="324">
        <v>0</v>
      </c>
      <c r="J30" s="324">
        <v>53314</v>
      </c>
      <c r="K30" s="322" t="s">
        <v>306</v>
      </c>
      <c r="L30" s="322">
        <v>6</v>
      </c>
      <c r="M30" s="322" t="s">
        <v>306</v>
      </c>
      <c r="N30" s="322">
        <v>3710</v>
      </c>
      <c r="O30" s="333" t="s">
        <v>606</v>
      </c>
    </row>
    <row r="31" spans="1:15" s="175" customFormat="1" ht="12.2" customHeight="1">
      <c r="A31" s="175" t="s">
        <v>607</v>
      </c>
      <c r="B31" s="280">
        <v>130</v>
      </c>
      <c r="C31" s="280">
        <v>3962</v>
      </c>
      <c r="D31" s="280">
        <v>51</v>
      </c>
      <c r="E31" s="280" t="s">
        <v>306</v>
      </c>
      <c r="F31" s="280">
        <v>13150</v>
      </c>
      <c r="G31" s="280">
        <v>74490</v>
      </c>
      <c r="H31" s="280">
        <v>41400</v>
      </c>
      <c r="I31" s="422">
        <v>0</v>
      </c>
      <c r="J31" s="422">
        <v>93154</v>
      </c>
      <c r="K31" s="280" t="s">
        <v>306</v>
      </c>
      <c r="L31" s="280">
        <v>86</v>
      </c>
      <c r="M31" s="280" t="s">
        <v>306</v>
      </c>
      <c r="N31" s="280">
        <v>3715</v>
      </c>
      <c r="O31" s="228" t="s">
        <v>607</v>
      </c>
    </row>
    <row r="32" spans="1:15" s="175" customFormat="1" ht="12.2" customHeight="1">
      <c r="A32" s="332" t="s">
        <v>601</v>
      </c>
      <c r="B32" s="322">
        <v>129</v>
      </c>
      <c r="C32" s="322">
        <v>3970</v>
      </c>
      <c r="D32" s="322">
        <v>276</v>
      </c>
      <c r="E32" s="322" t="s">
        <v>306</v>
      </c>
      <c r="F32" s="322">
        <v>13200</v>
      </c>
      <c r="G32" s="322">
        <v>101464</v>
      </c>
      <c r="H32" s="322">
        <v>42419</v>
      </c>
      <c r="I32" s="324">
        <v>0</v>
      </c>
      <c r="J32" s="324">
        <v>89898</v>
      </c>
      <c r="K32" s="322" t="s">
        <v>306</v>
      </c>
      <c r="L32" s="324">
        <v>140</v>
      </c>
      <c r="M32" s="322" t="s">
        <v>306</v>
      </c>
      <c r="N32" s="322">
        <v>3725</v>
      </c>
      <c r="O32" s="333" t="s">
        <v>601</v>
      </c>
    </row>
    <row r="33" spans="1:15" s="175" customFormat="1" ht="12.2" customHeight="1">
      <c r="A33" s="175" t="s">
        <v>608</v>
      </c>
      <c r="B33" s="280">
        <v>130</v>
      </c>
      <c r="C33" s="280">
        <v>4008</v>
      </c>
      <c r="D33" s="280">
        <v>154</v>
      </c>
      <c r="E33" s="280" t="s">
        <v>306</v>
      </c>
      <c r="F33" s="280">
        <v>13250</v>
      </c>
      <c r="G33" s="280">
        <v>66228</v>
      </c>
      <c r="H33" s="280">
        <v>45628</v>
      </c>
      <c r="I33" s="422">
        <v>0</v>
      </c>
      <c r="J33" s="422">
        <v>89076</v>
      </c>
      <c r="K33" s="280" t="s">
        <v>306</v>
      </c>
      <c r="L33" s="422">
        <v>128</v>
      </c>
      <c r="M33" s="280" t="s">
        <v>306</v>
      </c>
      <c r="N33" s="280">
        <v>3730</v>
      </c>
      <c r="O33" s="228" t="s">
        <v>608</v>
      </c>
    </row>
    <row r="34" spans="1:15" s="175" customFormat="1" ht="12.2" customHeight="1">
      <c r="A34" s="332" t="s">
        <v>609</v>
      </c>
      <c r="B34" s="322">
        <v>127</v>
      </c>
      <c r="C34" s="322">
        <v>4101</v>
      </c>
      <c r="D34" s="322">
        <v>183</v>
      </c>
      <c r="E34" s="322" t="s">
        <v>306</v>
      </c>
      <c r="F34" s="322">
        <v>12900</v>
      </c>
      <c r="G34" s="322">
        <v>86446</v>
      </c>
      <c r="H34" s="322">
        <v>44704</v>
      </c>
      <c r="I34" s="324">
        <v>110</v>
      </c>
      <c r="J34" s="324">
        <v>57692</v>
      </c>
      <c r="K34" s="322" t="s">
        <v>306</v>
      </c>
      <c r="L34" s="324">
        <v>137</v>
      </c>
      <c r="M34" s="322" t="s">
        <v>306</v>
      </c>
      <c r="N34" s="322">
        <v>3572</v>
      </c>
      <c r="O34" s="333" t="s">
        <v>609</v>
      </c>
    </row>
    <row r="35" spans="1:15" s="175" customFormat="1" ht="12.2" customHeight="1">
      <c r="A35" s="175" t="s">
        <v>602</v>
      </c>
      <c r="B35" s="280">
        <v>129</v>
      </c>
      <c r="C35" s="280">
        <v>4132</v>
      </c>
      <c r="D35" s="280">
        <v>293</v>
      </c>
      <c r="E35" s="280" t="s">
        <v>306</v>
      </c>
      <c r="F35" s="280">
        <v>13050</v>
      </c>
      <c r="G35" s="280">
        <v>80134</v>
      </c>
      <c r="H35" s="280">
        <v>36157</v>
      </c>
      <c r="I35" s="422">
        <v>6600</v>
      </c>
      <c r="J35" s="422">
        <v>59945</v>
      </c>
      <c r="K35" s="280" t="s">
        <v>306</v>
      </c>
      <c r="L35" s="422">
        <v>129</v>
      </c>
      <c r="M35" s="280" t="s">
        <v>306</v>
      </c>
      <c r="N35" s="280">
        <v>3275</v>
      </c>
      <c r="O35" s="228" t="s">
        <v>602</v>
      </c>
    </row>
    <row r="36" spans="1:15" s="175" customFormat="1" ht="12.2" customHeight="1">
      <c r="A36" s="332" t="s">
        <v>610</v>
      </c>
      <c r="B36" s="322">
        <v>131</v>
      </c>
      <c r="C36" s="322">
        <v>4154</v>
      </c>
      <c r="D36" s="322">
        <v>336</v>
      </c>
      <c r="E36" s="322" t="s">
        <v>306</v>
      </c>
      <c r="F36" s="322">
        <v>13100</v>
      </c>
      <c r="G36" s="322">
        <v>80512</v>
      </c>
      <c r="H36" s="322">
        <v>35932</v>
      </c>
      <c r="I36" s="324">
        <v>12735</v>
      </c>
      <c r="J36" s="324">
        <v>105807</v>
      </c>
      <c r="K36" s="322" t="s">
        <v>306</v>
      </c>
      <c r="L36" s="324">
        <v>131</v>
      </c>
      <c r="M36" s="322" t="s">
        <v>306</v>
      </c>
      <c r="N36" s="322">
        <v>3285</v>
      </c>
      <c r="O36" s="333" t="s">
        <v>610</v>
      </c>
    </row>
    <row r="37" spans="1:15" s="175" customFormat="1" ht="12.2" customHeight="1">
      <c r="A37" s="175" t="s">
        <v>611</v>
      </c>
      <c r="B37" s="280">
        <v>126</v>
      </c>
      <c r="C37" s="280">
        <v>4175</v>
      </c>
      <c r="D37" s="280">
        <v>315</v>
      </c>
      <c r="E37" s="280" t="s">
        <v>306</v>
      </c>
      <c r="F37" s="280">
        <v>12050</v>
      </c>
      <c r="G37" s="280">
        <v>73491</v>
      </c>
      <c r="H37" s="280">
        <v>39220</v>
      </c>
      <c r="I37" s="422">
        <v>2041</v>
      </c>
      <c r="J37" s="422">
        <v>104876</v>
      </c>
      <c r="K37" s="280" t="s">
        <v>306</v>
      </c>
      <c r="L37" s="422">
        <v>120</v>
      </c>
      <c r="M37" s="280" t="s">
        <v>306</v>
      </c>
      <c r="N37" s="280">
        <v>3290</v>
      </c>
      <c r="O37" s="228" t="s">
        <v>611</v>
      </c>
    </row>
    <row r="38" spans="1:15" s="175" customFormat="1" ht="12.2" customHeight="1">
      <c r="A38" s="332" t="s">
        <v>603</v>
      </c>
      <c r="B38" s="322">
        <v>101</v>
      </c>
      <c r="C38" s="322">
        <v>4182</v>
      </c>
      <c r="D38" s="322">
        <v>135</v>
      </c>
      <c r="E38" s="322" t="s">
        <v>306</v>
      </c>
      <c r="F38" s="322">
        <v>11500</v>
      </c>
      <c r="G38" s="322">
        <v>70490</v>
      </c>
      <c r="H38" s="322">
        <v>30444</v>
      </c>
      <c r="I38" s="324">
        <v>0</v>
      </c>
      <c r="J38" s="324">
        <v>151828</v>
      </c>
      <c r="K38" s="322" t="s">
        <v>306</v>
      </c>
      <c r="L38" s="324">
        <v>144</v>
      </c>
      <c r="M38" s="322" t="s">
        <v>306</v>
      </c>
      <c r="N38" s="322">
        <v>3299</v>
      </c>
      <c r="O38" s="333" t="s">
        <v>603</v>
      </c>
    </row>
    <row r="39" spans="1:15" s="175" customFormat="1" ht="12.2" customHeight="1">
      <c r="A39" s="175" t="s">
        <v>612</v>
      </c>
      <c r="B39" s="280">
        <v>109</v>
      </c>
      <c r="C39" s="280">
        <v>4187</v>
      </c>
      <c r="D39" s="280">
        <v>106</v>
      </c>
      <c r="E39" s="280" t="s">
        <v>306</v>
      </c>
      <c r="F39" s="280">
        <v>11450</v>
      </c>
      <c r="G39" s="280">
        <v>78608</v>
      </c>
      <c r="H39" s="280">
        <v>26301</v>
      </c>
      <c r="I39" s="422">
        <v>0</v>
      </c>
      <c r="J39" s="422">
        <v>106132</v>
      </c>
      <c r="K39" s="280" t="s">
        <v>306</v>
      </c>
      <c r="L39" s="422">
        <v>130</v>
      </c>
      <c r="M39" s="280" t="s">
        <v>306</v>
      </c>
      <c r="N39" s="280">
        <v>3290</v>
      </c>
      <c r="O39" s="228" t="s">
        <v>612</v>
      </c>
    </row>
    <row r="40" spans="1:15" s="175" customFormat="1" ht="12.2" customHeight="1">
      <c r="A40" s="332" t="s">
        <v>613</v>
      </c>
      <c r="B40" s="322">
        <v>124</v>
      </c>
      <c r="C40" s="322">
        <v>5527</v>
      </c>
      <c r="D40" s="322">
        <v>122</v>
      </c>
      <c r="E40" s="322" t="s">
        <v>306</v>
      </c>
      <c r="F40" s="322">
        <v>11400</v>
      </c>
      <c r="G40" s="322">
        <v>60180</v>
      </c>
      <c r="H40" s="322">
        <v>30026</v>
      </c>
      <c r="I40" s="324">
        <v>0</v>
      </c>
      <c r="J40" s="324">
        <v>152818</v>
      </c>
      <c r="K40" s="322" t="s">
        <v>306</v>
      </c>
      <c r="L40" s="324">
        <v>94</v>
      </c>
      <c r="M40" s="322" t="s">
        <v>306</v>
      </c>
      <c r="N40" s="322">
        <v>3275</v>
      </c>
      <c r="O40" s="333" t="s">
        <v>613</v>
      </c>
    </row>
    <row r="41" spans="1:15" s="175" customFormat="1" ht="12.2" customHeight="1">
      <c r="A41" s="175" t="s">
        <v>604</v>
      </c>
      <c r="B41" s="280">
        <v>123</v>
      </c>
      <c r="C41" s="280">
        <v>6040</v>
      </c>
      <c r="D41" s="280">
        <v>125</v>
      </c>
      <c r="E41" s="280" t="s">
        <v>306</v>
      </c>
      <c r="F41" s="280">
        <v>11350</v>
      </c>
      <c r="G41" s="280">
        <v>62923</v>
      </c>
      <c r="H41" s="280">
        <v>30525</v>
      </c>
      <c r="I41" s="422">
        <v>0</v>
      </c>
      <c r="J41" s="422">
        <v>132577</v>
      </c>
      <c r="K41" s="280" t="s">
        <v>306</v>
      </c>
      <c r="L41" s="422">
        <v>123</v>
      </c>
      <c r="M41" s="280" t="s">
        <v>306</v>
      </c>
      <c r="N41" s="280">
        <v>3275</v>
      </c>
      <c r="O41" s="228" t="s">
        <v>604</v>
      </c>
    </row>
    <row r="42" spans="1:15" s="175" customFormat="1" ht="12.2" customHeight="1">
      <c r="A42" s="334" t="s">
        <v>2481</v>
      </c>
      <c r="B42" s="322"/>
      <c r="C42" s="322"/>
      <c r="D42" s="322"/>
      <c r="E42" s="322"/>
      <c r="F42" s="322"/>
      <c r="G42" s="322"/>
      <c r="H42" s="322"/>
      <c r="I42" s="324"/>
      <c r="J42" s="324"/>
      <c r="K42" s="322"/>
      <c r="L42" s="324"/>
      <c r="M42" s="322"/>
      <c r="N42" s="322"/>
      <c r="O42" s="335" t="s">
        <v>2481</v>
      </c>
    </row>
    <row r="43" spans="1:15" s="175" customFormat="1" ht="12.2" customHeight="1">
      <c r="A43" s="278" t="s">
        <v>606</v>
      </c>
      <c r="B43" s="280">
        <v>121</v>
      </c>
      <c r="C43" s="280">
        <v>4185</v>
      </c>
      <c r="D43" s="280">
        <v>113</v>
      </c>
      <c r="E43" s="280" t="s">
        <v>306</v>
      </c>
      <c r="F43" s="280">
        <v>11250</v>
      </c>
      <c r="G43" s="280">
        <v>65923</v>
      </c>
      <c r="H43" s="280">
        <v>29216</v>
      </c>
      <c r="I43" s="422">
        <v>0</v>
      </c>
      <c r="J43" s="422">
        <v>71531</v>
      </c>
      <c r="K43" s="280" t="s">
        <v>306</v>
      </c>
      <c r="L43" s="422">
        <v>116</v>
      </c>
      <c r="M43" s="280" t="s">
        <v>306</v>
      </c>
      <c r="N43" s="280">
        <v>3127</v>
      </c>
      <c r="O43" s="419" t="s">
        <v>606</v>
      </c>
    </row>
    <row r="44" spans="1:15" s="175" customFormat="1" ht="12.2" customHeight="1">
      <c r="A44" s="354" t="s">
        <v>607</v>
      </c>
      <c r="B44" s="322">
        <v>124</v>
      </c>
      <c r="C44" s="322">
        <v>4503</v>
      </c>
      <c r="D44" s="322">
        <v>112</v>
      </c>
      <c r="E44" s="322" t="s">
        <v>306</v>
      </c>
      <c r="F44" s="322">
        <v>11320</v>
      </c>
      <c r="G44" s="322">
        <v>74093</v>
      </c>
      <c r="H44" s="322">
        <v>47331</v>
      </c>
      <c r="I44" s="324">
        <v>0</v>
      </c>
      <c r="J44" s="324">
        <v>97401</v>
      </c>
      <c r="K44" s="322" t="s">
        <v>306</v>
      </c>
      <c r="L44" s="324">
        <v>141</v>
      </c>
      <c r="M44" s="322" t="s">
        <v>306</v>
      </c>
      <c r="N44" s="322">
        <v>3100</v>
      </c>
      <c r="O44" s="385" t="s">
        <v>607</v>
      </c>
    </row>
    <row r="45" spans="1:15" s="175" customFormat="1" ht="12.2" customHeight="1" thickBot="1">
      <c r="A45" s="551" t="s">
        <v>601</v>
      </c>
      <c r="B45" s="1398">
        <v>120</v>
      </c>
      <c r="C45" s="1398">
        <v>3663</v>
      </c>
      <c r="D45" s="1398">
        <v>0</v>
      </c>
      <c r="E45" s="1398" t="s">
        <v>306</v>
      </c>
      <c r="F45" s="1398">
        <v>11920</v>
      </c>
      <c r="G45" s="1398">
        <v>58214</v>
      </c>
      <c r="H45" s="1398" t="s">
        <v>306</v>
      </c>
      <c r="I45" s="1502">
        <v>0</v>
      </c>
      <c r="J45" s="1502">
        <v>76099</v>
      </c>
      <c r="K45" s="1398" t="s">
        <v>306</v>
      </c>
      <c r="L45" s="1502">
        <v>119</v>
      </c>
      <c r="M45" s="1398" t="s">
        <v>306</v>
      </c>
      <c r="N45" s="1398">
        <v>3250</v>
      </c>
      <c r="O45" s="1634" t="s">
        <v>601</v>
      </c>
    </row>
    <row r="46" spans="1:15" s="310" customFormat="1" ht="9" customHeight="1">
      <c r="A46" s="517" t="s">
        <v>764</v>
      </c>
      <c r="B46" s="2122" t="s">
        <v>1527</v>
      </c>
      <c r="C46" s="2122"/>
      <c r="D46" s="2122"/>
      <c r="E46" s="174"/>
      <c r="F46" s="936"/>
      <c r="G46" s="174"/>
      <c r="H46" s="518" t="s">
        <v>246</v>
      </c>
      <c r="I46" s="2119" t="s">
        <v>2703</v>
      </c>
      <c r="J46" s="2119"/>
      <c r="K46" s="2119"/>
      <c r="L46" s="2119"/>
      <c r="M46" s="2119"/>
      <c r="N46" s="2119"/>
    </row>
    <row r="47" spans="1:15" s="310" customFormat="1" ht="9" customHeight="1">
      <c r="A47" s="174" t="s">
        <v>678</v>
      </c>
      <c r="B47" s="2120" t="s">
        <v>1528</v>
      </c>
      <c r="C47" s="2120"/>
      <c r="D47" s="2120"/>
      <c r="E47" s="2120"/>
      <c r="F47" s="1246"/>
      <c r="G47" s="1246"/>
      <c r="H47" s="519"/>
      <c r="I47" s="2122" t="s">
        <v>1546</v>
      </c>
      <c r="J47" s="2122"/>
      <c r="K47" s="2122"/>
      <c r="L47" s="2122"/>
      <c r="M47" s="2122"/>
      <c r="N47" s="2122"/>
    </row>
    <row r="48" spans="1:15" s="310" customFormat="1" ht="9.75" customHeight="1">
      <c r="A48" s="519" t="s">
        <v>247</v>
      </c>
      <c r="B48" s="2120" t="s">
        <v>1529</v>
      </c>
      <c r="C48" s="2120"/>
      <c r="D48" s="2120"/>
      <c r="E48" s="2120"/>
      <c r="F48" s="1246"/>
      <c r="G48" s="1245"/>
      <c r="H48" s="519"/>
      <c r="I48" s="2120" t="s">
        <v>1547</v>
      </c>
      <c r="J48" s="2120"/>
      <c r="K48" s="2120"/>
      <c r="L48" s="2120"/>
      <c r="M48" s="2120"/>
      <c r="N48" s="2120"/>
    </row>
    <row r="49" spans="1:14" s="310" customFormat="1">
      <c r="A49" s="519" t="s">
        <v>248</v>
      </c>
      <c r="B49" s="2120" t="s">
        <v>1530</v>
      </c>
      <c r="C49" s="2120"/>
      <c r="D49" s="2120"/>
      <c r="E49" s="2120"/>
      <c r="F49" s="2120"/>
      <c r="G49" s="2120"/>
      <c r="H49" s="519"/>
      <c r="I49" s="2120" t="s">
        <v>1548</v>
      </c>
      <c r="J49" s="2120"/>
      <c r="K49" s="2120"/>
      <c r="L49" s="2120"/>
      <c r="M49" s="2120"/>
      <c r="N49" s="2120"/>
    </row>
    <row r="50" spans="1:14" s="310" customFormat="1">
      <c r="A50" s="519" t="s">
        <v>249</v>
      </c>
      <c r="B50" s="2120" t="s">
        <v>1531</v>
      </c>
      <c r="C50" s="2120"/>
      <c r="D50" s="519"/>
      <c r="E50" s="519"/>
      <c r="F50" s="519"/>
      <c r="G50" s="519"/>
      <c r="H50" s="519"/>
      <c r="I50" s="13" t="s">
        <v>241</v>
      </c>
      <c r="J50" s="13"/>
    </row>
    <row r="51" spans="1:14">
      <c r="E51" s="938"/>
      <c r="G51" s="938"/>
    </row>
    <row r="52" spans="1:14">
      <c r="B52" s="938"/>
      <c r="C52" s="938"/>
      <c r="D52" s="938"/>
      <c r="E52" s="938"/>
      <c r="F52" s="938"/>
      <c r="G52" s="938"/>
    </row>
    <row r="53" spans="1:14">
      <c r="B53" s="938"/>
      <c r="C53" s="938"/>
      <c r="D53" s="938"/>
      <c r="E53" s="938"/>
      <c r="F53" s="938"/>
    </row>
    <row r="54" spans="1:14">
      <c r="B54" s="938"/>
      <c r="C54" s="938"/>
      <c r="D54" s="938"/>
      <c r="E54" s="938"/>
      <c r="F54" s="938"/>
    </row>
    <row r="55" spans="1:14">
      <c r="B55" s="938"/>
      <c r="C55" s="938"/>
    </row>
    <row r="57" spans="1:14">
      <c r="B57" s="93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49:G49"/>
    <mergeCell ref="I49:N49"/>
    <mergeCell ref="B50:C50"/>
    <mergeCell ref="A3:A4"/>
    <mergeCell ref="B46:D46"/>
    <mergeCell ref="I47:N47"/>
    <mergeCell ref="B47:E47"/>
    <mergeCell ref="B48:E48"/>
    <mergeCell ref="I48:N48"/>
    <mergeCell ref="C1:G1"/>
    <mergeCell ref="H2:J2"/>
    <mergeCell ref="N1:O1"/>
    <mergeCell ref="O3:O4"/>
    <mergeCell ref="I46:N46"/>
  </mergeCells>
  <phoneticPr fontId="5" type="noConversion"/>
  <pageMargins left="0.62992125984251968" right="0.39370078740157483" top="0.51180993000874886" bottom="0.51180993000874886" header="0" footer="0.51333333333333331"/>
  <pageSetup paperSize="145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7"/>
  <sheetViews>
    <sheetView zoomScale="150" zoomScaleNormal="150" workbookViewId="0">
      <pane xSplit="1" ySplit="6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O47" sqref="O47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109" t="s">
        <v>1405</v>
      </c>
      <c r="E1" s="2109"/>
      <c r="F1" s="2109"/>
      <c r="G1" s="2109"/>
      <c r="H1" s="2109"/>
      <c r="I1" s="2109"/>
      <c r="J1" s="2109"/>
      <c r="K1" s="2131" t="s">
        <v>341</v>
      </c>
      <c r="L1" s="2131"/>
      <c r="M1" s="2131"/>
      <c r="N1" s="2131"/>
      <c r="O1" s="2131"/>
      <c r="P1" s="2109" t="s">
        <v>1201</v>
      </c>
      <c r="Q1" s="2109"/>
    </row>
    <row r="2" spans="1:17" s="21" customFormat="1" ht="11.25" customHeight="1">
      <c r="B2" s="11"/>
      <c r="F2" s="11"/>
      <c r="G2" s="2127"/>
      <c r="H2" s="2127"/>
      <c r="I2" s="2127"/>
      <c r="J2" s="2127"/>
      <c r="K2" s="676"/>
      <c r="L2" s="11"/>
      <c r="M2" s="11"/>
      <c r="N2" s="11"/>
      <c r="O2" s="11"/>
      <c r="P2" s="11"/>
      <c r="Q2" s="11"/>
    </row>
    <row r="3" spans="1:17" s="84" customFormat="1" ht="12" customHeight="1">
      <c r="A3" s="2093" t="s">
        <v>527</v>
      </c>
      <c r="B3" s="1100" t="s">
        <v>547</v>
      </c>
      <c r="C3" s="2095" t="s">
        <v>549</v>
      </c>
      <c r="D3" s="2125"/>
      <c r="E3" s="1100" t="s">
        <v>547</v>
      </c>
      <c r="F3" s="2095" t="s">
        <v>92</v>
      </c>
      <c r="G3" s="2125"/>
      <c r="H3" s="1100" t="s">
        <v>547</v>
      </c>
      <c r="I3" s="2095" t="s">
        <v>93</v>
      </c>
      <c r="J3" s="2125"/>
      <c r="K3" s="2095" t="s">
        <v>192</v>
      </c>
      <c r="L3" s="2128"/>
      <c r="M3" s="2128"/>
      <c r="N3" s="2128"/>
      <c r="O3" s="2128"/>
      <c r="P3" s="2128"/>
      <c r="Q3" s="2125"/>
    </row>
    <row r="4" spans="1:17" s="84" customFormat="1" ht="12.75" customHeight="1">
      <c r="A4" s="2089"/>
      <c r="B4" s="2137" t="s">
        <v>548</v>
      </c>
      <c r="C4" s="2126" t="s">
        <v>94</v>
      </c>
      <c r="D4" s="2123" t="s">
        <v>95</v>
      </c>
      <c r="E4" s="2126" t="s">
        <v>544</v>
      </c>
      <c r="F4" s="2123" t="s">
        <v>94</v>
      </c>
      <c r="G4" s="2126" t="s">
        <v>95</v>
      </c>
      <c r="H4" s="2123" t="s">
        <v>271</v>
      </c>
      <c r="I4" s="2126" t="s">
        <v>110</v>
      </c>
      <c r="J4" s="2126" t="s">
        <v>95</v>
      </c>
      <c r="K4" s="2093" t="s">
        <v>19</v>
      </c>
      <c r="L4" s="2132" t="s">
        <v>20</v>
      </c>
      <c r="M4" s="2129" t="s">
        <v>958</v>
      </c>
      <c r="N4" s="2129" t="s">
        <v>1406</v>
      </c>
      <c r="O4" s="2129" t="s">
        <v>272</v>
      </c>
      <c r="P4" s="2130" t="s">
        <v>273</v>
      </c>
      <c r="Q4" s="2129" t="s">
        <v>959</v>
      </c>
    </row>
    <row r="5" spans="1:17" s="84" customFormat="1" ht="24.75" customHeight="1">
      <c r="A5" s="2089"/>
      <c r="B5" s="2138"/>
      <c r="C5" s="2126"/>
      <c r="D5" s="2124"/>
      <c r="E5" s="2126"/>
      <c r="F5" s="2124"/>
      <c r="G5" s="2126"/>
      <c r="H5" s="2124"/>
      <c r="I5" s="2126"/>
      <c r="J5" s="2126"/>
      <c r="K5" s="2090"/>
      <c r="L5" s="2132"/>
      <c r="M5" s="2129"/>
      <c r="N5" s="2129"/>
      <c r="O5" s="2129"/>
      <c r="P5" s="2130"/>
      <c r="Q5" s="2129"/>
    </row>
    <row r="6" spans="1:17" ht="11.1" customHeight="1">
      <c r="A6" s="89" t="s">
        <v>615</v>
      </c>
      <c r="B6" s="1107">
        <v>100</v>
      </c>
      <c r="C6" s="2135" t="s">
        <v>144</v>
      </c>
      <c r="D6" s="2136"/>
      <c r="E6" s="1107">
        <v>56.18</v>
      </c>
      <c r="F6" s="2134" t="s">
        <v>144</v>
      </c>
      <c r="G6" s="2134"/>
      <c r="H6" s="1107">
        <v>43.82</v>
      </c>
      <c r="I6" s="2134" t="s">
        <v>144</v>
      </c>
      <c r="J6" s="2134"/>
      <c r="K6" s="1107">
        <v>6.84</v>
      </c>
      <c r="L6" s="1107">
        <v>14.88</v>
      </c>
      <c r="M6" s="1107">
        <v>4.7300000000000004</v>
      </c>
      <c r="N6" s="1107">
        <v>3.47</v>
      </c>
      <c r="O6" s="1107">
        <v>5.8</v>
      </c>
      <c r="P6" s="1107">
        <v>4.28</v>
      </c>
      <c r="Q6" s="1107">
        <v>3.82</v>
      </c>
    </row>
    <row r="7" spans="1:17" s="299" customFormat="1" ht="13.35" customHeight="1">
      <c r="A7" s="1120" t="s">
        <v>908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3.35" customHeight="1">
      <c r="A8" s="332" t="s">
        <v>1108</v>
      </c>
      <c r="B8" s="328">
        <v>195.08250000000001</v>
      </c>
      <c r="C8" s="328">
        <v>6.97</v>
      </c>
      <c r="D8" s="328">
        <v>7.35</v>
      </c>
      <c r="E8" s="328">
        <v>209.79083333333335</v>
      </c>
      <c r="F8" s="328">
        <v>8</v>
      </c>
      <c r="G8" s="326">
        <v>8.57</v>
      </c>
      <c r="H8" s="328">
        <v>176.22416666666666</v>
      </c>
      <c r="I8" s="328">
        <v>5.45</v>
      </c>
      <c r="J8" s="328">
        <v>5.54</v>
      </c>
      <c r="K8" s="328">
        <v>194.76499999999999</v>
      </c>
      <c r="L8" s="328">
        <v>163.47083333333333</v>
      </c>
      <c r="M8" s="328">
        <v>206.13583333333338</v>
      </c>
      <c r="N8" s="328">
        <v>164.05583333333337</v>
      </c>
      <c r="O8" s="328">
        <v>167.20250000000001</v>
      </c>
      <c r="P8" s="328">
        <v>164.38166666666666</v>
      </c>
      <c r="Q8" s="328">
        <v>193.75416666666663</v>
      </c>
    </row>
    <row r="9" spans="1:17" s="299" customFormat="1" ht="13.35" customHeight="1">
      <c r="A9" s="278" t="s">
        <v>1167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3.35" customHeight="1">
      <c r="A10" s="354" t="s">
        <v>1299</v>
      </c>
      <c r="B10" s="328">
        <v>219.85833333333335</v>
      </c>
      <c r="C10" s="328">
        <v>5.53</v>
      </c>
      <c r="D10" s="328">
        <v>5.92</v>
      </c>
      <c r="E10" s="328">
        <v>234.77166666666668</v>
      </c>
      <c r="F10" s="328">
        <v>4.2300000000000004</v>
      </c>
      <c r="G10" s="328">
        <v>4.91</v>
      </c>
      <c r="H10" s="328">
        <v>200.73749999999998</v>
      </c>
      <c r="I10" s="328">
        <v>7.5</v>
      </c>
      <c r="J10" s="328">
        <v>7.47</v>
      </c>
      <c r="K10" s="328">
        <v>233.52</v>
      </c>
      <c r="L10" s="328">
        <v>182.75</v>
      </c>
      <c r="M10" s="328">
        <v>227.5325</v>
      </c>
      <c r="N10" s="328">
        <v>200.02916666666667</v>
      </c>
      <c r="O10" s="328">
        <v>201.59583333333333</v>
      </c>
      <c r="P10" s="328">
        <v>171.00583333333336</v>
      </c>
      <c r="Q10" s="328">
        <v>211.61166666666665</v>
      </c>
    </row>
    <row r="11" spans="1:17" s="299" customFormat="1" ht="13.35" customHeight="1">
      <c r="A11" s="278" t="s">
        <v>1343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9" customFormat="1" ht="13.35" customHeight="1">
      <c r="A12" s="354" t="s">
        <v>1471</v>
      </c>
      <c r="B12" s="328">
        <v>245.22416666666666</v>
      </c>
      <c r="C12" s="328">
        <v>5.54</v>
      </c>
      <c r="D12" s="328">
        <v>5.78</v>
      </c>
      <c r="E12" s="328">
        <v>266.63833333333332</v>
      </c>
      <c r="F12" s="328">
        <v>5.98</v>
      </c>
      <c r="G12" s="328">
        <v>7.13</v>
      </c>
      <c r="H12" s="328">
        <v>217.76500000000001</v>
      </c>
      <c r="I12" s="328">
        <v>4.87</v>
      </c>
      <c r="J12" s="328">
        <v>3.73</v>
      </c>
      <c r="K12" s="328">
        <v>255.23666666666665</v>
      </c>
      <c r="L12" s="328">
        <v>200.24833333333333</v>
      </c>
      <c r="M12" s="328">
        <v>249.67583333333332</v>
      </c>
      <c r="N12" s="328">
        <v>209.2775</v>
      </c>
      <c r="O12" s="328">
        <v>218.79666666666665</v>
      </c>
      <c r="P12" s="328">
        <v>183.64916666666667</v>
      </c>
      <c r="Q12" s="328">
        <v>223.80666666666664</v>
      </c>
    </row>
    <row r="13" spans="1:17" s="177" customFormat="1" ht="13.35" customHeight="1">
      <c r="A13" s="278" t="s">
        <v>1600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3.35" customHeight="1">
      <c r="A14" s="670" t="s">
        <v>1695</v>
      </c>
      <c r="B14" s="331">
        <v>273.25666666666666</v>
      </c>
      <c r="C14" s="331">
        <v>6.02</v>
      </c>
      <c r="D14" s="331">
        <v>5.6476114685594103</v>
      </c>
      <c r="E14" s="331">
        <v>296.85749999999996</v>
      </c>
      <c r="F14" s="331">
        <v>6.54</v>
      </c>
      <c r="G14" s="331">
        <v>5.5215069211378198</v>
      </c>
      <c r="H14" s="331">
        <v>242.9966666666667</v>
      </c>
      <c r="I14" s="331">
        <v>5.22</v>
      </c>
      <c r="J14" s="331">
        <v>5.8455417943171106</v>
      </c>
      <c r="K14" s="331">
        <v>290.00333333333339</v>
      </c>
      <c r="L14" s="331">
        <v>220.70083333333335</v>
      </c>
      <c r="M14" s="331">
        <v>282.67083333333329</v>
      </c>
      <c r="N14" s="331">
        <v>230.07166666666669</v>
      </c>
      <c r="O14" s="331">
        <v>248.48</v>
      </c>
      <c r="P14" s="331">
        <v>190.13000000000002</v>
      </c>
      <c r="Q14" s="331">
        <v>259.27083333333331</v>
      </c>
    </row>
    <row r="15" spans="1:17" s="177" customFormat="1" ht="13.35" customHeight="1">
      <c r="A15" s="107" t="s">
        <v>1764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3.35" customHeight="1">
      <c r="A16" s="340" t="s">
        <v>606</v>
      </c>
      <c r="B16" s="322">
        <v>278.27</v>
      </c>
      <c r="C16" s="322">
        <v>5.53</v>
      </c>
      <c r="D16" s="323">
        <v>5.6394992671184641</v>
      </c>
      <c r="E16" s="323">
        <v>300.75</v>
      </c>
      <c r="F16" s="323">
        <v>5.7</v>
      </c>
      <c r="G16" s="323">
        <v>5.5442822929815838</v>
      </c>
      <c r="H16" s="323">
        <v>249.46</v>
      </c>
      <c r="I16" s="323">
        <v>5.28</v>
      </c>
      <c r="J16" s="323">
        <v>5.7893006672181668</v>
      </c>
      <c r="K16" s="323">
        <v>292.2</v>
      </c>
      <c r="L16" s="323">
        <v>227.57</v>
      </c>
      <c r="M16" s="323">
        <v>288.73</v>
      </c>
      <c r="N16" s="323">
        <v>240.64</v>
      </c>
      <c r="O16" s="323">
        <v>257.25</v>
      </c>
      <c r="P16" s="323">
        <v>190.98</v>
      </c>
      <c r="Q16" s="323">
        <v>271.37</v>
      </c>
    </row>
    <row r="17" spans="1:17" s="177" customFormat="1" ht="13.35" customHeight="1">
      <c r="A17" s="152" t="s">
        <v>607</v>
      </c>
      <c r="B17" s="280">
        <v>282.11</v>
      </c>
      <c r="C17" s="280">
        <v>5.68</v>
      </c>
      <c r="D17" s="281">
        <v>5.6547200899186079</v>
      </c>
      <c r="E17" s="281">
        <v>307.2</v>
      </c>
      <c r="F17" s="281">
        <v>6.08</v>
      </c>
      <c r="G17" s="281">
        <v>5.6114043048078877</v>
      </c>
      <c r="H17" s="281">
        <v>249.95</v>
      </c>
      <c r="I17" s="281">
        <v>5.05</v>
      </c>
      <c r="J17" s="281">
        <v>5.7235824973933092</v>
      </c>
      <c r="K17" s="281">
        <v>292.29000000000002</v>
      </c>
      <c r="L17" s="281">
        <v>227.6</v>
      </c>
      <c r="M17" s="281">
        <v>291.54000000000002</v>
      </c>
      <c r="N17" s="281">
        <v>240.81</v>
      </c>
      <c r="O17" s="281">
        <v>257.58999999999997</v>
      </c>
      <c r="P17" s="281">
        <v>191.01</v>
      </c>
      <c r="Q17" s="281">
        <v>272.54000000000002</v>
      </c>
    </row>
    <row r="18" spans="1:17" s="177" customFormat="1" ht="13.35" customHeight="1">
      <c r="A18" s="340" t="s">
        <v>601</v>
      </c>
      <c r="B18" s="322">
        <v>288.12</v>
      </c>
      <c r="C18" s="322">
        <v>5.97</v>
      </c>
      <c r="D18" s="323">
        <v>5.6907183725365407</v>
      </c>
      <c r="E18" s="323">
        <v>316.11</v>
      </c>
      <c r="F18" s="323">
        <v>6.5</v>
      </c>
      <c r="G18" s="323">
        <v>5.7140685033245875</v>
      </c>
      <c r="H18" s="323">
        <v>252.24</v>
      </c>
      <c r="I18" s="323">
        <v>5.12</v>
      </c>
      <c r="J18" s="323">
        <v>5.6553071506268981</v>
      </c>
      <c r="K18" s="323">
        <v>292.42</v>
      </c>
      <c r="L18" s="323">
        <v>227.99</v>
      </c>
      <c r="M18" s="323">
        <v>293.11</v>
      </c>
      <c r="N18" s="323">
        <v>246.45</v>
      </c>
      <c r="O18" s="323">
        <v>263.02</v>
      </c>
      <c r="P18" s="323">
        <v>191.79</v>
      </c>
      <c r="Q18" s="323">
        <v>280.87</v>
      </c>
    </row>
    <row r="19" spans="1:17" s="177" customFormat="1" ht="13.35" customHeight="1">
      <c r="A19" s="152" t="s">
        <v>608</v>
      </c>
      <c r="B19" s="280">
        <v>290.91000000000003</v>
      </c>
      <c r="C19" s="280">
        <v>6.44</v>
      </c>
      <c r="D19" s="281">
        <v>5.7740564589879639</v>
      </c>
      <c r="E19" s="281">
        <v>320.94</v>
      </c>
      <c r="F19" s="281">
        <v>7.34</v>
      </c>
      <c r="G19" s="281">
        <v>5.8744938917721701</v>
      </c>
      <c r="H19" s="281">
        <v>252.4</v>
      </c>
      <c r="I19" s="281">
        <v>5</v>
      </c>
      <c r="J19" s="281">
        <v>5.616036250418599</v>
      </c>
      <c r="K19" s="281">
        <v>292.57</v>
      </c>
      <c r="L19" s="281">
        <v>228.09</v>
      </c>
      <c r="M19" s="281">
        <v>293.35000000000002</v>
      </c>
      <c r="N19" s="281">
        <v>246.54</v>
      </c>
      <c r="O19" s="281">
        <v>263.41000000000003</v>
      </c>
      <c r="P19" s="281">
        <v>191.81</v>
      </c>
      <c r="Q19" s="281">
        <v>281.05</v>
      </c>
    </row>
    <row r="20" spans="1:17" s="177" customFormat="1" ht="13.35" customHeight="1">
      <c r="A20" s="340" t="s">
        <v>609</v>
      </c>
      <c r="B20" s="322">
        <v>288.70999999999998</v>
      </c>
      <c r="C20" s="322">
        <v>5.52</v>
      </c>
      <c r="D20" s="323">
        <v>5.7302638415250406</v>
      </c>
      <c r="E20" s="323">
        <v>316.41000000000003</v>
      </c>
      <c r="F20" s="323">
        <v>5.73</v>
      </c>
      <c r="G20" s="323">
        <v>5.8186503742525542</v>
      </c>
      <c r="H20" s="323">
        <v>253.19</v>
      </c>
      <c r="I20" s="323">
        <v>5.19</v>
      </c>
      <c r="J20" s="323">
        <v>5.5911591237148173</v>
      </c>
      <c r="K20" s="323">
        <v>292.73</v>
      </c>
      <c r="L20" s="323">
        <v>228.62</v>
      </c>
      <c r="M20" s="323">
        <v>295.29000000000002</v>
      </c>
      <c r="N20" s="323">
        <v>246.77</v>
      </c>
      <c r="O20" s="323">
        <v>264.74</v>
      </c>
      <c r="P20" s="323">
        <v>191.96</v>
      </c>
      <c r="Q20" s="323">
        <v>282.91000000000003</v>
      </c>
    </row>
    <row r="21" spans="1:17" s="177" customFormat="1" ht="13.35" customHeight="1">
      <c r="A21" s="152" t="s">
        <v>602</v>
      </c>
      <c r="B21" s="280">
        <v>287.41000000000003</v>
      </c>
      <c r="C21" s="280">
        <v>5.29</v>
      </c>
      <c r="D21" s="281">
        <v>5.691074747462066</v>
      </c>
      <c r="E21" s="281">
        <v>313.58999999999997</v>
      </c>
      <c r="F21" s="281">
        <v>5.34</v>
      </c>
      <c r="G21" s="281">
        <v>5.7730823873869852</v>
      </c>
      <c r="H21" s="281">
        <v>253.85</v>
      </c>
      <c r="I21" s="281">
        <v>5.21</v>
      </c>
      <c r="J21" s="281">
        <v>5.5622442458629351</v>
      </c>
      <c r="K21" s="281">
        <v>293.08</v>
      </c>
      <c r="L21" s="281">
        <v>228.84</v>
      </c>
      <c r="M21" s="281">
        <v>295.74</v>
      </c>
      <c r="N21" s="281">
        <v>247.29</v>
      </c>
      <c r="O21" s="281">
        <v>266.32</v>
      </c>
      <c r="P21" s="281">
        <v>192.16</v>
      </c>
      <c r="Q21" s="281">
        <v>285.38</v>
      </c>
    </row>
    <row r="22" spans="1:17" s="177" customFormat="1" ht="13.35" customHeight="1">
      <c r="A22" s="340" t="s">
        <v>610</v>
      </c>
      <c r="B22" s="322">
        <v>290.02999999999997</v>
      </c>
      <c r="C22" s="322">
        <v>5.0199999999999996</v>
      </c>
      <c r="D22" s="323">
        <v>5.6430352022812658</v>
      </c>
      <c r="E22" s="323">
        <v>315.81</v>
      </c>
      <c r="F22" s="323">
        <v>5.23</v>
      </c>
      <c r="G22" s="323">
        <v>5.7801577189297015</v>
      </c>
      <c r="H22" s="323">
        <v>256.97000000000003</v>
      </c>
      <c r="I22" s="323">
        <v>4.6900000000000004</v>
      </c>
      <c r="J22" s="323">
        <v>5.4270318877640555</v>
      </c>
      <c r="K22" s="323">
        <v>301.14999999999998</v>
      </c>
      <c r="L22" s="323">
        <v>229.98</v>
      </c>
      <c r="M22" s="323">
        <v>297.45</v>
      </c>
      <c r="N22" s="323">
        <v>249.01</v>
      </c>
      <c r="O22" s="323">
        <v>269.58</v>
      </c>
      <c r="P22" s="323">
        <v>194.13</v>
      </c>
      <c r="Q22" s="323">
        <v>291.52999999999997</v>
      </c>
    </row>
    <row r="23" spans="1:17" s="177" customFormat="1" ht="13.35" customHeight="1">
      <c r="A23" s="152" t="s">
        <v>611</v>
      </c>
      <c r="B23" s="281">
        <v>290.3</v>
      </c>
      <c r="C23" s="281">
        <v>5.32</v>
      </c>
      <c r="D23" s="281">
        <v>5.6304473421008305</v>
      </c>
      <c r="E23" s="281">
        <v>315.35000000000002</v>
      </c>
      <c r="F23" s="281">
        <v>5.42</v>
      </c>
      <c r="G23" s="281">
        <v>5.815339325778468</v>
      </c>
      <c r="H23" s="281">
        <v>258.18</v>
      </c>
      <c r="I23" s="281">
        <v>5.17</v>
      </c>
      <c r="J23" s="281">
        <v>5.3403232852774041</v>
      </c>
      <c r="K23" s="281">
        <v>302.12</v>
      </c>
      <c r="L23" s="281">
        <v>229.35</v>
      </c>
      <c r="M23" s="281">
        <v>299.52999999999997</v>
      </c>
      <c r="N23" s="281">
        <v>250.79</v>
      </c>
      <c r="O23" s="281">
        <v>272.60000000000002</v>
      </c>
      <c r="P23" s="281">
        <v>195.12</v>
      </c>
      <c r="Q23" s="281">
        <v>296.14999999999998</v>
      </c>
    </row>
    <row r="24" spans="1:17" s="177" customFormat="1" ht="13.35" customHeight="1">
      <c r="A24" s="340" t="s">
        <v>603</v>
      </c>
      <c r="B24" s="323">
        <v>291.95999999999998</v>
      </c>
      <c r="C24" s="323">
        <v>5.47</v>
      </c>
      <c r="D24" s="323">
        <v>5.6286025282636043</v>
      </c>
      <c r="E24" s="323">
        <v>317.32</v>
      </c>
      <c r="F24" s="323">
        <v>5.51</v>
      </c>
      <c r="G24" s="323">
        <v>5.8668131780540422</v>
      </c>
      <c r="H24" s="323">
        <v>259.44</v>
      </c>
      <c r="I24" s="323">
        <v>5.39</v>
      </c>
      <c r="J24" s="323">
        <v>5.2552526450105441</v>
      </c>
      <c r="K24" s="323">
        <v>303.73</v>
      </c>
      <c r="L24" s="323">
        <v>229.5</v>
      </c>
      <c r="M24" s="323">
        <v>302.63</v>
      </c>
      <c r="N24" s="323">
        <v>251.13</v>
      </c>
      <c r="O24" s="323">
        <v>274.68</v>
      </c>
      <c r="P24" s="323">
        <v>195.89</v>
      </c>
      <c r="Q24" s="323">
        <v>299.06</v>
      </c>
    </row>
    <row r="25" spans="1:17" s="177" customFormat="1" ht="13.35" customHeight="1">
      <c r="A25" s="152" t="s">
        <v>612</v>
      </c>
      <c r="B25" s="281">
        <v>293.88</v>
      </c>
      <c r="C25" s="281">
        <v>5.56</v>
      </c>
      <c r="D25" s="281">
        <v>5.5962455762425423</v>
      </c>
      <c r="E25" s="281">
        <v>320.27999999999997</v>
      </c>
      <c r="F25" s="281">
        <v>5.57</v>
      </c>
      <c r="G25" s="281">
        <v>5.8375404420722088</v>
      </c>
      <c r="H25" s="281">
        <v>260.02</v>
      </c>
      <c r="I25" s="281">
        <v>5.55</v>
      </c>
      <c r="J25" s="281">
        <v>5.2176319977855989</v>
      </c>
      <c r="K25" s="281">
        <v>304.23</v>
      </c>
      <c r="L25" s="281">
        <v>229.44</v>
      </c>
      <c r="M25" s="281">
        <v>305</v>
      </c>
      <c r="N25" s="281">
        <v>251.5</v>
      </c>
      <c r="O25" s="281">
        <v>276.02</v>
      </c>
      <c r="P25" s="281">
        <v>195.95</v>
      </c>
      <c r="Q25" s="281">
        <v>299.67</v>
      </c>
    </row>
    <row r="26" spans="1:17" s="177" customFormat="1" ht="13.35" customHeight="1">
      <c r="A26" s="340" t="s">
        <v>613</v>
      </c>
      <c r="B26" s="323">
        <v>287.92</v>
      </c>
      <c r="C26" s="323">
        <v>5.26</v>
      </c>
      <c r="D26" s="323">
        <v>5.5874241588527385</v>
      </c>
      <c r="E26" s="323">
        <v>308.41000000000003</v>
      </c>
      <c r="F26" s="323">
        <v>4.87</v>
      </c>
      <c r="G26" s="323">
        <v>5.816325666833122</v>
      </c>
      <c r="H26" s="323">
        <v>261.64999999999998</v>
      </c>
      <c r="I26" s="323">
        <v>5.86</v>
      </c>
      <c r="J26" s="323">
        <v>5.228935994351902</v>
      </c>
      <c r="K26" s="323">
        <v>305.17</v>
      </c>
      <c r="L26" s="323">
        <v>225.9</v>
      </c>
      <c r="M26" s="323">
        <v>306.45999999999998</v>
      </c>
      <c r="N26" s="323">
        <v>251.53</v>
      </c>
      <c r="O26" s="323">
        <v>294.86</v>
      </c>
      <c r="P26" s="323">
        <v>195.99</v>
      </c>
      <c r="Q26" s="323">
        <v>299.99</v>
      </c>
    </row>
    <row r="27" spans="1:17" s="177" customFormat="1" ht="13.35" customHeight="1">
      <c r="A27" s="152" t="s">
        <v>604</v>
      </c>
      <c r="B27" s="281">
        <v>291.7</v>
      </c>
      <c r="C27" s="281">
        <v>5.64</v>
      </c>
      <c r="D27" s="281">
        <v>5.5576564158239528</v>
      </c>
      <c r="E27" s="281">
        <v>314.19</v>
      </c>
      <c r="F27" s="281">
        <v>5.45</v>
      </c>
      <c r="G27" s="281">
        <v>5.7286183887331088</v>
      </c>
      <c r="H27" s="281">
        <v>262.87</v>
      </c>
      <c r="I27" s="281">
        <v>5.94</v>
      </c>
      <c r="J27" s="281">
        <v>5.2901960246368063</v>
      </c>
      <c r="K27" s="281">
        <v>306</v>
      </c>
      <c r="L27" s="281">
        <v>226.63</v>
      </c>
      <c r="M27" s="281">
        <v>308.95</v>
      </c>
      <c r="N27" s="281">
        <v>251.9</v>
      </c>
      <c r="O27" s="281">
        <v>297.31</v>
      </c>
      <c r="P27" s="281">
        <v>196.54</v>
      </c>
      <c r="Q27" s="281">
        <v>301.82</v>
      </c>
    </row>
    <row r="28" spans="1:17" s="175" customFormat="1" ht="13.35" customHeight="1">
      <c r="A28" s="1176" t="s">
        <v>2166</v>
      </c>
      <c r="B28" s="331">
        <f>AVERAGE(B29:B40)</f>
        <v>306.18166666666667</v>
      </c>
      <c r="C28" s="331">
        <f>C40</f>
        <v>7.56</v>
      </c>
      <c r="D28" s="331">
        <f>D40</f>
        <v>6.1496770018374614</v>
      </c>
      <c r="E28" s="331">
        <f>AVERAGE(E29:E40)</f>
        <v>332.85583333333329</v>
      </c>
      <c r="F28" s="331">
        <f>F40</f>
        <v>8.3699999999999992</v>
      </c>
      <c r="G28" s="331">
        <f>G40</f>
        <v>6.0512006287237297</v>
      </c>
      <c r="H28" s="331">
        <f>AVERAGE(H29:H40)</f>
        <v>271.98333333333335</v>
      </c>
      <c r="I28" s="331">
        <f>I40</f>
        <v>6.33</v>
      </c>
      <c r="J28" s="331">
        <f>J40</f>
        <v>6.3050856290428836</v>
      </c>
      <c r="K28" s="331">
        <f t="shared" ref="K28:Q28" si="1">AVERAGE(K29:K40)</f>
        <v>320.14250000000004</v>
      </c>
      <c r="L28" s="331">
        <f t="shared" si="1"/>
        <v>232.42499999999998</v>
      </c>
      <c r="M28" s="331">
        <f t="shared" si="1"/>
        <v>320.29583333333341</v>
      </c>
      <c r="N28" s="331">
        <f t="shared" si="1"/>
        <v>253.62</v>
      </c>
      <c r="O28" s="331">
        <f t="shared" si="1"/>
        <v>313.00416666666666</v>
      </c>
      <c r="P28" s="331">
        <f t="shared" si="1"/>
        <v>202.60249999999999</v>
      </c>
      <c r="Q28" s="331">
        <f t="shared" si="1"/>
        <v>312.2791666666667</v>
      </c>
    </row>
    <row r="29" spans="1:17" s="175" customFormat="1" ht="13.35" customHeight="1">
      <c r="A29" s="152" t="s">
        <v>606</v>
      </c>
      <c r="B29" s="281">
        <v>293.19</v>
      </c>
      <c r="C29" s="281">
        <v>5.36</v>
      </c>
      <c r="D29" s="281">
        <v>5.5433772763430422</v>
      </c>
      <c r="E29" s="281">
        <v>316.02</v>
      </c>
      <c r="F29" s="281">
        <v>5.08</v>
      </c>
      <c r="G29" s="281">
        <v>5.6764007265614147</v>
      </c>
      <c r="H29" s="281">
        <v>263.93</v>
      </c>
      <c r="I29" s="281">
        <v>5.8</v>
      </c>
      <c r="J29" s="281">
        <v>5.3345262201763832</v>
      </c>
      <c r="K29" s="281">
        <v>307.11</v>
      </c>
      <c r="L29" s="281">
        <v>227.12</v>
      </c>
      <c r="M29" s="281">
        <v>310.07</v>
      </c>
      <c r="N29" s="281">
        <v>252.47</v>
      </c>
      <c r="O29" s="281">
        <v>300.58</v>
      </c>
      <c r="P29" s="281">
        <v>197</v>
      </c>
      <c r="Q29" s="281">
        <v>302.72000000000003</v>
      </c>
    </row>
    <row r="30" spans="1:17" s="175" customFormat="1" ht="13.35" customHeight="1">
      <c r="A30" s="340" t="s">
        <v>607</v>
      </c>
      <c r="B30" s="323">
        <v>297.73</v>
      </c>
      <c r="C30" s="323">
        <v>5.54</v>
      </c>
      <c r="D30" s="323">
        <v>5.5322003983305335</v>
      </c>
      <c r="E30" s="323">
        <v>323.04000000000002</v>
      </c>
      <c r="F30" s="323">
        <v>5.16</v>
      </c>
      <c r="G30" s="323">
        <v>5.5996774283251449</v>
      </c>
      <c r="H30" s="323">
        <v>265.27999999999997</v>
      </c>
      <c r="I30" s="323">
        <v>6.13</v>
      </c>
      <c r="J30" s="323">
        <v>5.4252862618135111</v>
      </c>
      <c r="K30" s="323">
        <v>310.33999999999997</v>
      </c>
      <c r="L30" s="323">
        <v>228.06</v>
      </c>
      <c r="M30" s="323">
        <v>311.89999999999998</v>
      </c>
      <c r="N30" s="323">
        <v>252.66</v>
      </c>
      <c r="O30" s="323">
        <v>301.81</v>
      </c>
      <c r="P30" s="323">
        <v>197.47</v>
      </c>
      <c r="Q30" s="323">
        <v>303.97000000000003</v>
      </c>
    </row>
    <row r="31" spans="1:17" s="175" customFormat="1" ht="13.35" customHeight="1">
      <c r="A31" s="152" t="s">
        <v>601</v>
      </c>
      <c r="B31" s="281">
        <v>304.22000000000003</v>
      </c>
      <c r="C31" s="281">
        <v>5.59</v>
      </c>
      <c r="D31" s="281">
        <v>5.5016044968015265</v>
      </c>
      <c r="E31" s="281">
        <v>332.58</v>
      </c>
      <c r="F31" s="281">
        <v>5.21</v>
      </c>
      <c r="G31" s="281">
        <v>5.491508546772117</v>
      </c>
      <c r="H31" s="281">
        <v>267.85000000000002</v>
      </c>
      <c r="I31" s="281">
        <v>6.19</v>
      </c>
      <c r="J31" s="281">
        <v>5.5154990060180875</v>
      </c>
      <c r="K31" s="281">
        <v>313.63</v>
      </c>
      <c r="L31" s="281">
        <v>230.62</v>
      </c>
      <c r="M31" s="281">
        <v>316.69</v>
      </c>
      <c r="N31" s="281">
        <v>252.89</v>
      </c>
      <c r="O31" s="281">
        <v>303.73</v>
      </c>
      <c r="P31" s="281">
        <v>199.55</v>
      </c>
      <c r="Q31" s="281">
        <v>306.12</v>
      </c>
    </row>
    <row r="32" spans="1:17" s="175" customFormat="1" ht="13.35" customHeight="1">
      <c r="A32" s="340" t="s">
        <v>608</v>
      </c>
      <c r="B32" s="323">
        <v>307.49</v>
      </c>
      <c r="C32" s="323">
        <v>5.7</v>
      </c>
      <c r="D32" s="323">
        <v>5.44</v>
      </c>
      <c r="E32" s="323">
        <v>337.7</v>
      </c>
      <c r="F32" s="323">
        <v>5.22</v>
      </c>
      <c r="G32" s="323">
        <v>5.32</v>
      </c>
      <c r="H32" s="323">
        <v>268.75</v>
      </c>
      <c r="I32" s="323">
        <v>6.48</v>
      </c>
      <c r="J32" s="323">
        <v>5.64</v>
      </c>
      <c r="K32" s="323">
        <v>314.48</v>
      </c>
      <c r="L32" s="323">
        <v>231.64</v>
      </c>
      <c r="M32" s="323">
        <v>316.85000000000002</v>
      </c>
      <c r="N32" s="323">
        <v>252.99</v>
      </c>
      <c r="O32" s="323">
        <v>306.31</v>
      </c>
      <c r="P32" s="323">
        <v>199.71</v>
      </c>
      <c r="Q32" s="323">
        <v>306.66000000000003</v>
      </c>
    </row>
    <row r="33" spans="1:17" s="175" customFormat="1" ht="13.35" customHeight="1">
      <c r="A33" s="152" t="s">
        <v>609</v>
      </c>
      <c r="B33" s="281">
        <v>305.97000000000003</v>
      </c>
      <c r="C33" s="281">
        <v>5.98</v>
      </c>
      <c r="D33" s="281">
        <v>5.4813491177127638</v>
      </c>
      <c r="E33" s="281">
        <v>333.58</v>
      </c>
      <c r="F33" s="281">
        <v>5.43</v>
      </c>
      <c r="G33" s="281">
        <v>5.2912847174716227</v>
      </c>
      <c r="H33" s="281">
        <v>270.58</v>
      </c>
      <c r="I33" s="281">
        <v>6.87</v>
      </c>
      <c r="J33" s="281">
        <v>5.7801080180567288</v>
      </c>
      <c r="K33" s="281">
        <v>316.73</v>
      </c>
      <c r="L33" s="281">
        <v>232.46</v>
      </c>
      <c r="M33" s="281">
        <v>317.92</v>
      </c>
      <c r="N33" s="281">
        <v>253.09</v>
      </c>
      <c r="O33" s="281">
        <v>313.36</v>
      </c>
      <c r="P33" s="281">
        <v>200.25</v>
      </c>
      <c r="Q33" s="281">
        <v>307.70999999999998</v>
      </c>
    </row>
    <row r="34" spans="1:17" s="175" customFormat="1" ht="13.35" customHeight="1">
      <c r="A34" s="340" t="s">
        <v>602</v>
      </c>
      <c r="B34" s="323">
        <v>304.81</v>
      </c>
      <c r="C34" s="323">
        <v>6.05</v>
      </c>
      <c r="D34" s="323">
        <v>5.54</v>
      </c>
      <c r="E34" s="323">
        <v>330.71</v>
      </c>
      <c r="F34" s="323">
        <v>5.46</v>
      </c>
      <c r="G34" s="323">
        <v>5.3016020052310431</v>
      </c>
      <c r="H34" s="323">
        <v>271.61</v>
      </c>
      <c r="I34" s="323">
        <v>7</v>
      </c>
      <c r="J34" s="323">
        <v>5.9293944512266439</v>
      </c>
      <c r="K34" s="323">
        <v>320.38</v>
      </c>
      <c r="L34" s="323">
        <v>232.71</v>
      </c>
      <c r="M34" s="323">
        <v>318.7</v>
      </c>
      <c r="N34" s="323">
        <v>253.16</v>
      </c>
      <c r="O34" s="323">
        <v>314.27</v>
      </c>
      <c r="P34" s="323">
        <v>201.02</v>
      </c>
      <c r="Q34" s="323">
        <v>308.64999999999998</v>
      </c>
    </row>
    <row r="35" spans="1:17" s="175" customFormat="1" ht="13.35" customHeight="1">
      <c r="A35" s="152" t="s">
        <v>610</v>
      </c>
      <c r="B35" s="281">
        <v>307.02</v>
      </c>
      <c r="C35" s="281">
        <v>5.86</v>
      </c>
      <c r="D35" s="281">
        <v>5.6150806542117015</v>
      </c>
      <c r="E35" s="281">
        <v>333.51</v>
      </c>
      <c r="F35" s="281">
        <v>5.6</v>
      </c>
      <c r="G35" s="281">
        <v>5.3332790754455628</v>
      </c>
      <c r="H35" s="281">
        <v>273.05</v>
      </c>
      <c r="I35" s="281">
        <v>6.26</v>
      </c>
      <c r="J35" s="281">
        <v>6.0589199562864904</v>
      </c>
      <c r="K35" s="281">
        <v>321.57</v>
      </c>
      <c r="L35" s="281">
        <v>233.53</v>
      </c>
      <c r="M35" s="281">
        <v>320.51</v>
      </c>
      <c r="N35" s="281">
        <v>253.44</v>
      </c>
      <c r="O35" s="281">
        <v>315.7</v>
      </c>
      <c r="P35" s="281">
        <v>203.16</v>
      </c>
      <c r="Q35" s="281">
        <v>312.88</v>
      </c>
    </row>
    <row r="36" spans="1:17" s="175" customFormat="1" ht="13.35" customHeight="1">
      <c r="A36" s="340" t="s">
        <v>611</v>
      </c>
      <c r="B36" s="323">
        <v>308.20999999999998</v>
      </c>
      <c r="C36" s="323">
        <v>6.17</v>
      </c>
      <c r="D36" s="323">
        <v>5.6861320951678174</v>
      </c>
      <c r="E36" s="323">
        <v>334.95</v>
      </c>
      <c r="F36" s="323">
        <v>6.22</v>
      </c>
      <c r="G36" s="323">
        <v>5.4012078912681671</v>
      </c>
      <c r="H36" s="323">
        <v>273.93</v>
      </c>
      <c r="I36" s="323">
        <v>6.1</v>
      </c>
      <c r="J36" s="323">
        <v>6.1349347223835116</v>
      </c>
      <c r="K36" s="323">
        <v>323.49</v>
      </c>
      <c r="L36" s="323">
        <v>233.65</v>
      </c>
      <c r="M36" s="323">
        <v>322.05</v>
      </c>
      <c r="N36" s="323">
        <v>253.57</v>
      </c>
      <c r="O36" s="323">
        <v>317.11</v>
      </c>
      <c r="P36" s="323">
        <v>203.76</v>
      </c>
      <c r="Q36" s="323">
        <v>314.16000000000003</v>
      </c>
    </row>
    <row r="37" spans="1:17" s="175" customFormat="1" ht="13.35" customHeight="1">
      <c r="A37" s="152" t="s">
        <v>603</v>
      </c>
      <c r="B37" s="281">
        <v>310.12</v>
      </c>
      <c r="C37" s="281">
        <v>6.22</v>
      </c>
      <c r="D37" s="281">
        <v>5.7496501613063966</v>
      </c>
      <c r="E37" s="281">
        <v>337.43</v>
      </c>
      <c r="F37" s="281">
        <v>6.34</v>
      </c>
      <c r="G37" s="281">
        <v>5.4720481862916115</v>
      </c>
      <c r="H37" s="281">
        <v>275.11</v>
      </c>
      <c r="I37" s="281">
        <v>6.04</v>
      </c>
      <c r="J37" s="281">
        <v>6.1873207985941425</v>
      </c>
      <c r="K37" s="281">
        <v>325.31</v>
      </c>
      <c r="L37" s="281">
        <v>234.17</v>
      </c>
      <c r="M37" s="281">
        <v>323.51</v>
      </c>
      <c r="N37" s="281">
        <v>253.91</v>
      </c>
      <c r="O37" s="281">
        <v>317.88</v>
      </c>
      <c r="P37" s="281">
        <v>204.95</v>
      </c>
      <c r="Q37" s="281">
        <v>317.85000000000002</v>
      </c>
    </row>
    <row r="38" spans="1:17" s="175" customFormat="1" ht="13.35" customHeight="1">
      <c r="A38" s="340" t="s">
        <v>612</v>
      </c>
      <c r="B38" s="323">
        <v>312.38</v>
      </c>
      <c r="C38" s="323">
        <v>6.29</v>
      </c>
      <c r="D38" s="323">
        <v>5.8114153321578765</v>
      </c>
      <c r="E38" s="323">
        <v>340.25</v>
      </c>
      <c r="F38" s="323">
        <v>6.23</v>
      </c>
      <c r="G38" s="323">
        <v>5.5297540814660318</v>
      </c>
      <c r="H38" s="323">
        <v>276.64</v>
      </c>
      <c r="I38" s="323">
        <v>6.39</v>
      </c>
      <c r="J38" s="323">
        <v>6.2561657349555988</v>
      </c>
      <c r="K38" s="323">
        <v>328.18</v>
      </c>
      <c r="L38" s="323">
        <v>234.65</v>
      </c>
      <c r="M38" s="323">
        <v>325.93</v>
      </c>
      <c r="N38" s="323">
        <v>254.59</v>
      </c>
      <c r="O38" s="323">
        <v>319.82</v>
      </c>
      <c r="P38" s="323">
        <v>206.59</v>
      </c>
      <c r="Q38" s="323">
        <v>319.99</v>
      </c>
    </row>
    <row r="39" spans="1:17" s="175" customFormat="1" ht="13.35" customHeight="1">
      <c r="A39" s="152" t="s">
        <v>613</v>
      </c>
      <c r="B39" s="281">
        <v>309.27999999999997</v>
      </c>
      <c r="C39" s="281">
        <v>7.42</v>
      </c>
      <c r="D39" s="281">
        <v>5.9894246228676229</v>
      </c>
      <c r="E39" s="281">
        <v>334.02</v>
      </c>
      <c r="F39" s="281">
        <v>8.3000000000000007</v>
      </c>
      <c r="G39" s="281">
        <v>5.8094140987488219</v>
      </c>
      <c r="H39" s="281">
        <v>277.57</v>
      </c>
      <c r="I39" s="281">
        <v>6.08</v>
      </c>
      <c r="J39" s="281">
        <v>6.2736460392475157</v>
      </c>
      <c r="K39" s="281">
        <v>329.4</v>
      </c>
      <c r="L39" s="281">
        <v>235.01</v>
      </c>
      <c r="M39" s="281">
        <v>328.4</v>
      </c>
      <c r="N39" s="281">
        <v>255.05</v>
      </c>
      <c r="O39" s="281">
        <v>320.76</v>
      </c>
      <c r="P39" s="281">
        <v>207.47</v>
      </c>
      <c r="Q39" s="281">
        <v>321.14999999999998</v>
      </c>
    </row>
    <row r="40" spans="1:17" s="175" customFormat="1" ht="13.35" customHeight="1">
      <c r="A40" s="340" t="s">
        <v>604</v>
      </c>
      <c r="B40" s="323">
        <v>313.76</v>
      </c>
      <c r="C40" s="323">
        <v>7.56</v>
      </c>
      <c r="D40" s="323">
        <v>6.1496770018374614</v>
      </c>
      <c r="E40" s="323">
        <v>340.48</v>
      </c>
      <c r="F40" s="323">
        <v>8.3699999999999992</v>
      </c>
      <c r="G40" s="323">
        <v>6.0512006287237297</v>
      </c>
      <c r="H40" s="323">
        <v>279.5</v>
      </c>
      <c r="I40" s="323">
        <v>6.33</v>
      </c>
      <c r="J40" s="323">
        <v>6.3050856290428836</v>
      </c>
      <c r="K40" s="323">
        <v>331.09</v>
      </c>
      <c r="L40" s="323">
        <v>235.48</v>
      </c>
      <c r="M40" s="323">
        <v>331.02</v>
      </c>
      <c r="N40" s="323">
        <v>255.62</v>
      </c>
      <c r="O40" s="323">
        <v>324.72000000000003</v>
      </c>
      <c r="P40" s="323">
        <v>210.3</v>
      </c>
      <c r="Q40" s="323">
        <v>325.49</v>
      </c>
    </row>
    <row r="41" spans="1:17" s="175" customFormat="1" ht="13.35" customHeight="1">
      <c r="A41" s="107" t="s">
        <v>2481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1:17" s="175" customFormat="1" ht="13.35" customHeight="1">
      <c r="A42" s="340" t="s">
        <v>606</v>
      </c>
      <c r="B42" s="323">
        <v>315.13</v>
      </c>
      <c r="C42" s="323">
        <v>7.48</v>
      </c>
      <c r="D42" s="323">
        <v>6.325224955699249</v>
      </c>
      <c r="E42" s="323">
        <v>341.91</v>
      </c>
      <c r="F42" s="323">
        <v>8.19</v>
      </c>
      <c r="G42" s="323">
        <v>6.3075975174726073</v>
      </c>
      <c r="H42" s="323">
        <v>280.8</v>
      </c>
      <c r="I42" s="323">
        <v>6.39</v>
      </c>
      <c r="J42" s="323">
        <v>6.3533126505419091</v>
      </c>
      <c r="K42" s="323">
        <v>332.97</v>
      </c>
      <c r="L42" s="323">
        <v>235.87</v>
      </c>
      <c r="M42" s="323">
        <v>331.6</v>
      </c>
      <c r="N42" s="323">
        <v>256.22000000000003</v>
      </c>
      <c r="O42" s="323">
        <v>325.44</v>
      </c>
      <c r="P42" s="323">
        <v>211.78</v>
      </c>
      <c r="Q42" s="323">
        <v>331.52</v>
      </c>
    </row>
    <row r="43" spans="1:17" s="175" customFormat="1" ht="13.35" customHeight="1">
      <c r="A43" s="152" t="s">
        <v>607</v>
      </c>
      <c r="B43" s="281">
        <v>326.06</v>
      </c>
      <c r="C43" s="281">
        <v>9.52</v>
      </c>
      <c r="D43" s="281">
        <v>6.6609199681544995</v>
      </c>
      <c r="E43" s="281">
        <v>355.16</v>
      </c>
      <c r="F43" s="281">
        <v>9.94</v>
      </c>
      <c r="G43" s="281">
        <v>6.709993759002697</v>
      </c>
      <c r="H43" s="281">
        <v>288.76</v>
      </c>
      <c r="I43" s="281">
        <v>8.85</v>
      </c>
      <c r="J43" s="281">
        <v>6.5847962271211369</v>
      </c>
      <c r="K43" s="281">
        <v>334.36</v>
      </c>
      <c r="L43" s="281">
        <v>247.15</v>
      </c>
      <c r="M43" s="281">
        <v>336.03</v>
      </c>
      <c r="N43" s="281">
        <v>280.11</v>
      </c>
      <c r="O43" s="281">
        <v>333.15</v>
      </c>
      <c r="P43" s="281">
        <v>213.44</v>
      </c>
      <c r="Q43" s="281">
        <v>335.56</v>
      </c>
    </row>
    <row r="44" spans="1:17" s="175" customFormat="1" ht="13.35" customHeight="1">
      <c r="A44" s="340" t="s">
        <v>601</v>
      </c>
      <c r="B44" s="323">
        <v>331.88</v>
      </c>
      <c r="C44" s="323">
        <v>9.1</v>
      </c>
      <c r="D44" s="323">
        <v>6.9598855175087682</v>
      </c>
      <c r="E44" s="323">
        <v>362.77</v>
      </c>
      <c r="F44" s="323">
        <v>9.08</v>
      </c>
      <c r="G44" s="323">
        <v>7.0407505099713052</v>
      </c>
      <c r="H44" s="323">
        <v>292.29000000000002</v>
      </c>
      <c r="I44" s="323">
        <v>9.1300000000000008</v>
      </c>
      <c r="J44" s="323">
        <v>6.8352147077798131</v>
      </c>
      <c r="K44" s="323">
        <v>337.21</v>
      </c>
      <c r="L44" s="323">
        <v>248.08</v>
      </c>
      <c r="M44" s="323">
        <v>341.28</v>
      </c>
      <c r="N44" s="323">
        <v>293.16000000000003</v>
      </c>
      <c r="O44" s="323">
        <v>337.74</v>
      </c>
      <c r="P44" s="323">
        <v>214.28</v>
      </c>
      <c r="Q44" s="323">
        <v>341.13</v>
      </c>
    </row>
    <row r="45" spans="1:17" s="175" customFormat="1" ht="13.35" customHeight="1">
      <c r="A45" s="152" t="s">
        <v>608</v>
      </c>
      <c r="B45" s="281">
        <v>334.89</v>
      </c>
      <c r="C45" s="281">
        <v>8.91</v>
      </c>
      <c r="D45" s="281">
        <v>7.2341355183939138</v>
      </c>
      <c r="E45" s="281">
        <v>366.39</v>
      </c>
      <c r="F45" s="281">
        <v>8.5</v>
      </c>
      <c r="G45" s="281">
        <v>7.3213772939671573</v>
      </c>
      <c r="H45" s="281">
        <v>294.51</v>
      </c>
      <c r="I45" s="281">
        <v>9.58</v>
      </c>
      <c r="J45" s="281">
        <v>7.0999814813632378</v>
      </c>
      <c r="K45" s="281">
        <v>338.17</v>
      </c>
      <c r="L45" s="281">
        <v>248.79</v>
      </c>
      <c r="M45" s="281">
        <v>344.34</v>
      </c>
      <c r="N45" s="281">
        <v>294.93</v>
      </c>
      <c r="O45" s="281">
        <v>341.86</v>
      </c>
      <c r="P45" s="281">
        <v>215.27</v>
      </c>
      <c r="Q45" s="281">
        <v>349.33</v>
      </c>
    </row>
    <row r="46" spans="1:17" s="175" customFormat="1" ht="13.35" customHeight="1" thickBot="1">
      <c r="A46" s="1691" t="s">
        <v>609</v>
      </c>
      <c r="B46" s="524">
        <v>333.07</v>
      </c>
      <c r="C46" s="524">
        <v>8.85</v>
      </c>
      <c r="D46" s="524">
        <v>7.4767067592749425</v>
      </c>
      <c r="E46" s="524">
        <v>360.75</v>
      </c>
      <c r="F46" s="524">
        <v>8.14</v>
      </c>
      <c r="G46" s="524">
        <v>7.5485918183306744</v>
      </c>
      <c r="H46" s="524">
        <v>297.58</v>
      </c>
      <c r="I46" s="524">
        <v>9.98</v>
      </c>
      <c r="J46" s="524">
        <v>7.3659176279700755</v>
      </c>
      <c r="K46" s="524">
        <v>340.91</v>
      </c>
      <c r="L46" s="524">
        <v>249.07</v>
      </c>
      <c r="M46" s="524">
        <v>349.61</v>
      </c>
      <c r="N46" s="524">
        <v>302.73</v>
      </c>
      <c r="O46" s="524">
        <v>347.6</v>
      </c>
      <c r="P46" s="524">
        <v>215.98</v>
      </c>
      <c r="Q46" s="524">
        <v>355.45</v>
      </c>
    </row>
    <row r="47" spans="1:17" s="177" customFormat="1" ht="11.45" customHeight="1">
      <c r="A47" s="188" t="s">
        <v>1584</v>
      </c>
      <c r="B47" s="106"/>
      <c r="C47" s="106"/>
      <c r="D47" s="106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</row>
    <row r="48" spans="1:17">
      <c r="A48" s="2133" t="s">
        <v>275</v>
      </c>
      <c r="B48" s="2133"/>
      <c r="C48" s="2133"/>
      <c r="D48" s="2133"/>
      <c r="E48" s="106"/>
      <c r="F48" s="106"/>
      <c r="G48" s="30"/>
      <c r="H48" s="34" t="s">
        <v>412</v>
      </c>
      <c r="I48" s="34"/>
      <c r="J48" s="34"/>
      <c r="K48" s="30"/>
      <c r="L48" s="30"/>
      <c r="M48" s="30"/>
      <c r="N48" s="30"/>
      <c r="O48" s="30"/>
      <c r="P48" s="30"/>
      <c r="Q48" s="30"/>
    </row>
    <row r="49" spans="1:17">
      <c r="E49" s="1262"/>
      <c r="F49" s="34"/>
      <c r="G49" s="34"/>
      <c r="H49" s="34"/>
      <c r="I49" s="34"/>
    </row>
    <row r="50" spans="1:17">
      <c r="A50" s="34"/>
      <c r="B50" s="34"/>
      <c r="C50" s="34"/>
      <c r="D50" s="34"/>
      <c r="E50" s="1263"/>
      <c r="F50" s="1123"/>
      <c r="G50" s="665"/>
      <c r="H50" s="1123"/>
      <c r="I50" s="156"/>
      <c r="J50" s="665"/>
      <c r="K50" s="72"/>
      <c r="L50" s="72"/>
      <c r="M50" s="72"/>
      <c r="N50" s="72"/>
    </row>
    <row r="51" spans="1:17">
      <c r="B51" s="90"/>
      <c r="C51" s="90"/>
      <c r="D51" s="90"/>
      <c r="E51" s="90"/>
      <c r="F51" s="90"/>
      <c r="H51" s="90"/>
      <c r="I51" s="281"/>
    </row>
    <row r="52" spans="1:17">
      <c r="B52" s="90"/>
      <c r="C52" s="281"/>
      <c r="D52" s="90"/>
      <c r="E52" s="90"/>
      <c r="F52" s="281"/>
      <c r="G52" s="90"/>
      <c r="H52" s="90"/>
      <c r="I52" s="281"/>
      <c r="J52" s="90"/>
    </row>
    <row r="53" spans="1:17">
      <c r="A53" s="278"/>
      <c r="B53" s="281"/>
      <c r="C53" s="281"/>
      <c r="D53" s="281"/>
      <c r="E53" s="281"/>
      <c r="F53" s="281"/>
      <c r="G53" s="281"/>
      <c r="H53" s="281"/>
      <c r="I53" s="281"/>
      <c r="J53" s="281"/>
      <c r="L53" s="281"/>
      <c r="M53" s="281"/>
      <c r="N53" s="281"/>
      <c r="O53" s="281"/>
      <c r="P53" s="281"/>
      <c r="Q53" s="281"/>
    </row>
    <row r="54" spans="1:17">
      <c r="B54" s="281"/>
      <c r="C54" s="281"/>
      <c r="D54" s="281"/>
      <c r="E54" s="281"/>
      <c r="F54" s="281"/>
      <c r="G54" s="281"/>
      <c r="H54" s="281"/>
      <c r="I54" s="281"/>
      <c r="J54" s="281"/>
    </row>
    <row r="55" spans="1:17">
      <c r="H55" s="90"/>
    </row>
    <row r="56" spans="1:17">
      <c r="H56" s="90"/>
    </row>
    <row r="57" spans="1:17">
      <c r="C57" s="665"/>
      <c r="F57" s="90"/>
      <c r="I57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9">
    <mergeCell ref="A48:D48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45" firstPageNumber="42" orientation="portrait" useFirstPageNumber="1" r:id="rId2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8"/>
  <sheetViews>
    <sheetView zoomScale="145" zoomScaleNormal="145" workbookViewId="0">
      <pane xSplit="1" ySplit="5" topLeftCell="E43" activePane="bottomRight" state="frozen"/>
      <selection activeCell="F85" sqref="F85"/>
      <selection pane="topRight" activeCell="F85" sqref="F85"/>
      <selection pane="bottomLeft" activeCell="F85" sqref="F85"/>
      <selection pane="bottomRight" activeCell="A59" sqref="A59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844" t="s">
        <v>342</v>
      </c>
      <c r="B1" s="1844"/>
      <c r="C1" s="1844"/>
      <c r="D1" s="1844"/>
      <c r="E1" s="1844"/>
      <c r="F1" s="2139" t="s">
        <v>343</v>
      </c>
      <c r="G1" s="2139"/>
      <c r="H1" s="1071"/>
      <c r="I1" s="1646" t="s">
        <v>1202</v>
      </c>
    </row>
    <row r="2" spans="1:9" s="1072" customFormat="1" ht="24" customHeight="1">
      <c r="A2" s="2047" t="s">
        <v>527</v>
      </c>
      <c r="B2" s="2140" t="s">
        <v>1442</v>
      </c>
      <c r="C2" s="2140"/>
      <c r="D2" s="2140" t="s">
        <v>91</v>
      </c>
      <c r="E2" s="2140"/>
      <c r="F2" s="1787" t="s">
        <v>2466</v>
      </c>
      <c r="G2" s="1811" t="s">
        <v>1407</v>
      </c>
      <c r="H2" s="1811"/>
      <c r="I2" s="1831" t="s">
        <v>527</v>
      </c>
    </row>
    <row r="3" spans="1:9" s="1072" customFormat="1" ht="12.75" customHeight="1">
      <c r="A3" s="2048"/>
      <c r="B3" s="1787" t="s">
        <v>2464</v>
      </c>
      <c r="C3" s="1787" t="s">
        <v>2465</v>
      </c>
      <c r="D3" s="1787" t="s">
        <v>1552</v>
      </c>
      <c r="E3" s="1787" t="s">
        <v>1553</v>
      </c>
      <c r="F3" s="1787"/>
      <c r="G3" s="1787" t="s">
        <v>1554</v>
      </c>
      <c r="H3" s="1787" t="s">
        <v>1555</v>
      </c>
      <c r="I3" s="1831"/>
    </row>
    <row r="4" spans="1:9" s="1072" customFormat="1">
      <c r="A4" s="2048"/>
      <c r="B4" s="1787"/>
      <c r="C4" s="1787"/>
      <c r="D4" s="1787"/>
      <c r="E4" s="1787"/>
      <c r="F4" s="1787"/>
      <c r="G4" s="1787"/>
      <c r="H4" s="1787"/>
      <c r="I4" s="1831"/>
    </row>
    <row r="5" spans="1:9" s="1072" customFormat="1" ht="12.75" customHeight="1">
      <c r="A5" s="2049"/>
      <c r="B5" s="1787"/>
      <c r="C5" s="1787"/>
      <c r="D5" s="1787"/>
      <c r="E5" s="1787"/>
      <c r="F5" s="1787"/>
      <c r="G5" s="1787"/>
      <c r="H5" s="1787"/>
      <c r="I5" s="1831"/>
    </row>
    <row r="6" spans="1:9" s="8" customFormat="1" ht="10.7" customHeight="1">
      <c r="A6" s="1648">
        <v>2009</v>
      </c>
      <c r="B6" s="990">
        <v>3756.3333333333335</v>
      </c>
      <c r="C6" s="990">
        <v>7758.333333333333</v>
      </c>
      <c r="D6" s="819">
        <v>35.204166666666673</v>
      </c>
      <c r="E6" s="990">
        <v>23980.833333333332</v>
      </c>
      <c r="F6" s="819">
        <v>128.69797063195713</v>
      </c>
      <c r="G6" s="990">
        <v>586.66666666666663</v>
      </c>
      <c r="H6" s="990">
        <v>90.25</v>
      </c>
      <c r="I6" s="997">
        <v>2009</v>
      </c>
    </row>
    <row r="7" spans="1:9" s="8" customFormat="1" ht="10.7" customHeight="1">
      <c r="A7" s="985">
        <v>2010</v>
      </c>
      <c r="B7" s="991">
        <v>6190.916666666667</v>
      </c>
      <c r="C7" s="991">
        <v>13941.416666666666</v>
      </c>
      <c r="D7" s="782">
        <v>35.166666666666664</v>
      </c>
      <c r="E7" s="991">
        <v>31114.166666666668</v>
      </c>
      <c r="F7" s="782">
        <v>142.05333333333334</v>
      </c>
      <c r="G7" s="991">
        <v>912.5</v>
      </c>
      <c r="H7" s="991">
        <v>101.58333333333333</v>
      </c>
      <c r="I7" s="998">
        <v>2010</v>
      </c>
    </row>
    <row r="8" spans="1:9" s="177" customFormat="1" ht="10.7" customHeight="1">
      <c r="A8" s="986">
        <v>2011</v>
      </c>
      <c r="B8" s="992">
        <v>5937.5</v>
      </c>
      <c r="C8" s="992">
        <v>13850</v>
      </c>
      <c r="D8" s="850">
        <v>37.541666666666664</v>
      </c>
      <c r="E8" s="992">
        <v>26950</v>
      </c>
      <c r="F8" s="850">
        <v>166.13499999999999</v>
      </c>
      <c r="G8" s="992">
        <v>1087.9166666666667</v>
      </c>
      <c r="H8" s="992">
        <v>156.33333333333334</v>
      </c>
      <c r="I8" s="999">
        <v>2011</v>
      </c>
    </row>
    <row r="9" spans="1:9" s="177" customFormat="1" ht="10.7" customHeight="1">
      <c r="A9" s="985">
        <v>2012</v>
      </c>
      <c r="B9" s="991">
        <v>5833.333333333333</v>
      </c>
      <c r="C9" s="991">
        <v>13600</v>
      </c>
      <c r="D9" s="782">
        <v>32.875</v>
      </c>
      <c r="E9" s="991">
        <v>54033.333333333336</v>
      </c>
      <c r="F9" s="782">
        <v>172.94416666666669</v>
      </c>
      <c r="G9" s="991">
        <v>1053.125</v>
      </c>
      <c r="H9" s="991">
        <v>112.77777777777777</v>
      </c>
      <c r="I9" s="998">
        <v>2012</v>
      </c>
    </row>
    <row r="10" spans="1:9" s="238" customFormat="1" ht="10.7" customHeight="1">
      <c r="A10" s="1648">
        <v>2013</v>
      </c>
      <c r="B10" s="992">
        <v>5375</v>
      </c>
      <c r="C10" s="992">
        <v>12500</v>
      </c>
      <c r="D10" s="850">
        <v>37.041666666666664</v>
      </c>
      <c r="E10" s="992">
        <v>51868.181818181816</v>
      </c>
      <c r="F10" s="850">
        <v>199.83166666666662</v>
      </c>
      <c r="G10" s="992">
        <v>680</v>
      </c>
      <c r="H10" s="992">
        <v>79.833333333333329</v>
      </c>
      <c r="I10" s="1000">
        <v>2013</v>
      </c>
    </row>
    <row r="11" spans="1:9" s="238" customFormat="1" ht="10.7" customHeight="1">
      <c r="A11" s="985">
        <v>2014</v>
      </c>
      <c r="B11" s="991">
        <v>5375</v>
      </c>
      <c r="C11" s="991">
        <v>12500</v>
      </c>
      <c r="D11" s="782">
        <v>40</v>
      </c>
      <c r="E11" s="991">
        <v>48600</v>
      </c>
      <c r="F11" s="782">
        <v>185.97166666666666</v>
      </c>
      <c r="G11" s="991">
        <v>1078.75</v>
      </c>
      <c r="H11" s="991">
        <v>109.33333333333333</v>
      </c>
      <c r="I11" s="1001">
        <v>2014</v>
      </c>
    </row>
    <row r="12" spans="1:9" s="238" customFormat="1" ht="10.7" customHeight="1">
      <c r="A12" s="987">
        <v>2015</v>
      </c>
      <c r="B12" s="992">
        <v>5770.833333333333</v>
      </c>
      <c r="C12" s="992">
        <v>13650</v>
      </c>
      <c r="D12" s="850">
        <v>37.666666666666664</v>
      </c>
      <c r="E12" s="992">
        <v>44166.666666666664</v>
      </c>
      <c r="F12" s="850">
        <v>166.07666666666668</v>
      </c>
      <c r="G12" s="992">
        <v>1287.5</v>
      </c>
      <c r="H12" s="992">
        <v>96.416666666666671</v>
      </c>
      <c r="I12" s="1002">
        <v>2015</v>
      </c>
    </row>
    <row r="13" spans="1:9" s="1012" customFormat="1" ht="10.7" customHeight="1">
      <c r="A13" s="985">
        <v>2016</v>
      </c>
      <c r="B13" s="935">
        <v>6375</v>
      </c>
      <c r="C13" s="935">
        <v>15100</v>
      </c>
      <c r="D13" s="782">
        <v>38.416666666666664</v>
      </c>
      <c r="E13" s="991">
        <v>44000</v>
      </c>
      <c r="F13" s="782">
        <v>161.27999999999997</v>
      </c>
      <c r="G13" s="991">
        <v>1009.1666666666666</v>
      </c>
      <c r="H13" s="991">
        <v>87</v>
      </c>
      <c r="I13" s="1001">
        <v>2016</v>
      </c>
    </row>
    <row r="14" spans="1:9" s="1012" customFormat="1" ht="10.7" customHeight="1">
      <c r="A14" s="987">
        <v>2017</v>
      </c>
      <c r="B14" s="918">
        <v>6375</v>
      </c>
      <c r="C14" s="918">
        <v>15100</v>
      </c>
      <c r="D14" s="850">
        <v>45.166666666666664</v>
      </c>
      <c r="E14" s="992">
        <v>43173.333333333336</v>
      </c>
      <c r="F14" s="850">
        <v>164.67</v>
      </c>
      <c r="G14" s="992">
        <v>778.75</v>
      </c>
      <c r="H14" s="992">
        <v>67.666666666666671</v>
      </c>
      <c r="I14" s="1175">
        <v>2017</v>
      </c>
    </row>
    <row r="15" spans="1:9" s="1012" customFormat="1" ht="10.7" customHeight="1">
      <c r="A15" s="985">
        <v>2018</v>
      </c>
      <c r="B15" s="935">
        <v>6375</v>
      </c>
      <c r="C15" s="935">
        <v>15100</v>
      </c>
      <c r="D15" s="782">
        <v>44.666666666666664</v>
      </c>
      <c r="E15" s="991">
        <v>41401.666666666664</v>
      </c>
      <c r="F15" s="782">
        <v>171.87749999999997</v>
      </c>
      <c r="G15" s="991">
        <v>690.83333333333337</v>
      </c>
      <c r="H15" s="991">
        <v>59.166666666666664</v>
      </c>
      <c r="I15" s="1001">
        <v>2018</v>
      </c>
    </row>
    <row r="16" spans="1:9" s="289" customFormat="1" ht="10.7" customHeight="1">
      <c r="A16" s="989">
        <v>2019</v>
      </c>
      <c r="B16" s="996">
        <v>6385.416666666667</v>
      </c>
      <c r="C16" s="996">
        <v>15125</v>
      </c>
      <c r="D16" s="995">
        <v>35.583333333333336</v>
      </c>
      <c r="E16" s="996">
        <v>41673.333333333336</v>
      </c>
      <c r="F16" s="995">
        <v>172.48000000000002</v>
      </c>
      <c r="G16" s="996">
        <v>500.33333333333331</v>
      </c>
      <c r="H16" s="996">
        <v>45.75</v>
      </c>
      <c r="I16" s="1006">
        <v>2019</v>
      </c>
    </row>
    <row r="17" spans="1:9" s="289" customFormat="1" ht="10.7" customHeight="1">
      <c r="A17" s="988">
        <v>2020</v>
      </c>
      <c r="B17" s="994">
        <f>AVERAGE(B18:B29)</f>
        <v>6677.083333333333</v>
      </c>
      <c r="C17" s="994">
        <f t="shared" ref="C17:D17" si="0">AVERAGE(C18:C29)</f>
        <v>15812.5</v>
      </c>
      <c r="D17" s="993">
        <f t="shared" si="0"/>
        <v>43.75</v>
      </c>
      <c r="E17" s="994">
        <f>AVERAGE(E18:E29)</f>
        <v>66450.416666666672</v>
      </c>
      <c r="F17" s="993">
        <f>AVERAGE(F18:F29)</f>
        <v>180.03</v>
      </c>
      <c r="G17" s="994">
        <f t="shared" ref="G17:H17" si="1">AVERAGE(G18:G29)</f>
        <v>299.75</v>
      </c>
      <c r="H17" s="994">
        <f t="shared" si="1"/>
        <v>22.75</v>
      </c>
      <c r="I17" s="1003">
        <v>2020</v>
      </c>
    </row>
    <row r="18" spans="1:9" s="289" customFormat="1" ht="10.7" customHeight="1">
      <c r="A18" s="986" t="s">
        <v>610</v>
      </c>
      <c r="B18" s="918">
        <v>6500</v>
      </c>
      <c r="C18" s="918">
        <v>15400</v>
      </c>
      <c r="D18" s="850">
        <v>35</v>
      </c>
      <c r="E18" s="918">
        <v>41800</v>
      </c>
      <c r="F18" s="1005">
        <v>183.77</v>
      </c>
      <c r="G18" s="1020">
        <v>387</v>
      </c>
      <c r="H18" s="1020">
        <v>26</v>
      </c>
      <c r="I18" s="1002" t="s">
        <v>610</v>
      </c>
    </row>
    <row r="19" spans="1:9" s="289" customFormat="1" ht="10.7" customHeight="1">
      <c r="A19" s="985" t="s">
        <v>611</v>
      </c>
      <c r="B19" s="935">
        <v>6500</v>
      </c>
      <c r="C19" s="935">
        <v>15400</v>
      </c>
      <c r="D19" s="782">
        <v>35</v>
      </c>
      <c r="E19" s="935">
        <v>41820</v>
      </c>
      <c r="F19" s="1004">
        <v>178.41</v>
      </c>
      <c r="G19" s="1021">
        <v>400</v>
      </c>
      <c r="H19" s="1021">
        <v>27</v>
      </c>
      <c r="I19" s="1001" t="s">
        <v>611</v>
      </c>
    </row>
    <row r="20" spans="1:9" s="289" customFormat="1" ht="10.7" customHeight="1">
      <c r="A20" s="986" t="s">
        <v>603</v>
      </c>
      <c r="B20" s="918">
        <v>6500</v>
      </c>
      <c r="C20" s="918">
        <v>15400</v>
      </c>
      <c r="D20" s="850">
        <v>38</v>
      </c>
      <c r="E20" s="918">
        <v>51450</v>
      </c>
      <c r="F20" s="1005">
        <v>184.96</v>
      </c>
      <c r="G20" s="1020">
        <v>383</v>
      </c>
      <c r="H20" s="1020">
        <v>27</v>
      </c>
      <c r="I20" s="1002" t="s">
        <v>603</v>
      </c>
    </row>
    <row r="21" spans="1:9" s="289" customFormat="1" ht="10.7" customHeight="1">
      <c r="A21" s="985" t="s">
        <v>612</v>
      </c>
      <c r="B21" s="935">
        <v>6500</v>
      </c>
      <c r="C21" s="935">
        <v>15400</v>
      </c>
      <c r="D21" s="782">
        <v>45</v>
      </c>
      <c r="E21" s="935">
        <v>93284</v>
      </c>
      <c r="F21" s="1004">
        <v>180.11</v>
      </c>
      <c r="G21" s="1021">
        <v>337</v>
      </c>
      <c r="H21" s="1021">
        <v>26</v>
      </c>
      <c r="I21" s="1001" t="s">
        <v>612</v>
      </c>
    </row>
    <row r="22" spans="1:9" s="289" customFormat="1" ht="10.7" customHeight="1">
      <c r="A22" s="986" t="s">
        <v>613</v>
      </c>
      <c r="B22" s="918">
        <v>6500</v>
      </c>
      <c r="C22" s="918">
        <v>15400</v>
      </c>
      <c r="D22" s="850">
        <v>44</v>
      </c>
      <c r="E22" s="992">
        <v>97136.9</v>
      </c>
      <c r="F22" s="1005">
        <v>179.09</v>
      </c>
      <c r="G22" s="1020">
        <v>311</v>
      </c>
      <c r="H22" s="1020">
        <v>24</v>
      </c>
      <c r="I22" s="1002" t="s">
        <v>613</v>
      </c>
    </row>
    <row r="23" spans="1:9" s="289" customFormat="1" ht="10.7" customHeight="1">
      <c r="A23" s="985" t="s">
        <v>604</v>
      </c>
      <c r="B23" s="935">
        <v>6500</v>
      </c>
      <c r="C23" s="935">
        <v>15400</v>
      </c>
      <c r="D23" s="782">
        <v>44</v>
      </c>
      <c r="E23" s="991">
        <v>97280.1</v>
      </c>
      <c r="F23" s="1004">
        <v>172.06</v>
      </c>
      <c r="G23" s="1021">
        <v>296</v>
      </c>
      <c r="H23" s="1021">
        <v>25</v>
      </c>
      <c r="I23" s="1001" t="s">
        <v>604</v>
      </c>
    </row>
    <row r="24" spans="1:9" s="289" customFormat="1" ht="10.7" customHeight="1">
      <c r="A24" s="986" t="s">
        <v>606</v>
      </c>
      <c r="B24" s="918">
        <v>6500</v>
      </c>
      <c r="C24" s="918">
        <v>15400</v>
      </c>
      <c r="D24" s="850">
        <v>45</v>
      </c>
      <c r="E24" s="918">
        <v>59170</v>
      </c>
      <c r="F24" s="1005">
        <v>186.17</v>
      </c>
      <c r="G24" s="1020">
        <v>251</v>
      </c>
      <c r="H24" s="1020">
        <v>23</v>
      </c>
      <c r="I24" s="1002" t="s">
        <v>606</v>
      </c>
    </row>
    <row r="25" spans="1:9" s="289" customFormat="1" ht="10.7" customHeight="1">
      <c r="A25" s="985" t="s">
        <v>607</v>
      </c>
      <c r="B25" s="935">
        <v>6500</v>
      </c>
      <c r="C25" s="935">
        <v>15400</v>
      </c>
      <c r="D25" s="782">
        <v>45</v>
      </c>
      <c r="E25" s="935">
        <v>63200</v>
      </c>
      <c r="F25" s="1004">
        <v>177.77</v>
      </c>
      <c r="G25" s="1021">
        <v>216</v>
      </c>
      <c r="H25" s="1021">
        <v>19</v>
      </c>
      <c r="I25" s="1001" t="s">
        <v>607</v>
      </c>
    </row>
    <row r="26" spans="1:9" s="289" customFormat="1" ht="10.7" customHeight="1">
      <c r="A26" s="986" t="s">
        <v>601</v>
      </c>
      <c r="B26" s="918">
        <v>6500</v>
      </c>
      <c r="C26" s="918">
        <v>15400</v>
      </c>
      <c r="D26" s="850">
        <v>47</v>
      </c>
      <c r="E26" s="918">
        <v>63000</v>
      </c>
      <c r="F26" s="1005">
        <v>186.16</v>
      </c>
      <c r="G26" s="1020">
        <v>235</v>
      </c>
      <c r="H26" s="1020">
        <v>18</v>
      </c>
      <c r="I26" s="1002" t="s">
        <v>601</v>
      </c>
    </row>
    <row r="27" spans="1:9" s="289" customFormat="1" ht="10.7" customHeight="1">
      <c r="A27" s="985" t="s">
        <v>608</v>
      </c>
      <c r="B27" s="935">
        <v>6500</v>
      </c>
      <c r="C27" s="935">
        <v>15400</v>
      </c>
      <c r="D27" s="782">
        <v>49</v>
      </c>
      <c r="E27" s="935">
        <v>58540</v>
      </c>
      <c r="F27" s="1004">
        <v>178.52</v>
      </c>
      <c r="G27" s="1021">
        <v>252</v>
      </c>
      <c r="H27" s="1021">
        <v>17</v>
      </c>
      <c r="I27" s="1001" t="s">
        <v>608</v>
      </c>
    </row>
    <row r="28" spans="1:9" s="289" customFormat="1" ht="10.7" customHeight="1">
      <c r="A28" s="986" t="s">
        <v>609</v>
      </c>
      <c r="B28" s="918">
        <v>6500</v>
      </c>
      <c r="C28" s="918">
        <v>15400</v>
      </c>
      <c r="D28" s="850">
        <v>49</v>
      </c>
      <c r="E28" s="918">
        <v>65572</v>
      </c>
      <c r="F28" s="1005">
        <v>178.09</v>
      </c>
      <c r="G28" s="1020">
        <v>246</v>
      </c>
      <c r="H28" s="1020">
        <v>18</v>
      </c>
      <c r="I28" s="1002" t="s">
        <v>609</v>
      </c>
    </row>
    <row r="29" spans="1:9" s="289" customFormat="1" ht="10.7" customHeight="1">
      <c r="A29" s="985" t="s">
        <v>602</v>
      </c>
      <c r="B29" s="935">
        <v>8625</v>
      </c>
      <c r="C29" s="935">
        <v>20350</v>
      </c>
      <c r="D29" s="782">
        <v>49</v>
      </c>
      <c r="E29" s="991">
        <v>65152</v>
      </c>
      <c r="F29" s="1004">
        <v>175.25</v>
      </c>
      <c r="G29" s="1021">
        <v>283</v>
      </c>
      <c r="H29" s="1021">
        <v>23</v>
      </c>
      <c r="I29" s="1001" t="s">
        <v>602</v>
      </c>
    </row>
    <row r="30" spans="1:9" s="289" customFormat="1" ht="10.7" customHeight="1">
      <c r="A30" s="989">
        <v>2021</v>
      </c>
      <c r="B30" s="1366">
        <f>AVERAGE(B31:B42)</f>
        <v>14750</v>
      </c>
      <c r="C30" s="1366">
        <f t="shared" ref="C30:D30" si="2">AVERAGE(C31:C42)</f>
        <v>31700</v>
      </c>
      <c r="D30" s="995">
        <f t="shared" si="2"/>
        <v>52</v>
      </c>
      <c r="E30" s="996">
        <f>AVERAGE(E31:E42)</f>
        <v>64838.400000000001</v>
      </c>
      <c r="F30" s="995">
        <f>AVERAGE(F31:F42)</f>
        <v>212.56583333333336</v>
      </c>
      <c r="G30" s="996">
        <f t="shared" ref="G30:H30" si="3">AVERAGE(G31:G42)</f>
        <v>311.5</v>
      </c>
      <c r="H30" s="996">
        <f t="shared" si="3"/>
        <v>26.75</v>
      </c>
      <c r="I30" s="1006">
        <v>2021</v>
      </c>
    </row>
    <row r="31" spans="1:9" s="289" customFormat="1" ht="10.7" customHeight="1">
      <c r="A31" s="985" t="s">
        <v>610</v>
      </c>
      <c r="B31" s="935">
        <v>14750</v>
      </c>
      <c r="C31" s="935">
        <v>31700</v>
      </c>
      <c r="D31" s="782">
        <v>49</v>
      </c>
      <c r="E31" s="935">
        <v>65020</v>
      </c>
      <c r="F31" s="1004">
        <v>182.27</v>
      </c>
      <c r="G31" s="1021">
        <v>281</v>
      </c>
      <c r="H31" s="1021">
        <v>23</v>
      </c>
      <c r="I31" s="1001" t="s">
        <v>610</v>
      </c>
    </row>
    <row r="32" spans="1:9" s="289" customFormat="1" ht="10.7" customHeight="1">
      <c r="A32" s="986" t="s">
        <v>611</v>
      </c>
      <c r="B32" s="918">
        <v>14750</v>
      </c>
      <c r="C32" s="918">
        <v>31700</v>
      </c>
      <c r="D32" s="850">
        <v>50</v>
      </c>
      <c r="E32" s="918">
        <v>65031</v>
      </c>
      <c r="F32" s="1005">
        <v>184.75</v>
      </c>
      <c r="G32" s="1020">
        <v>282</v>
      </c>
      <c r="H32" s="1020">
        <v>30</v>
      </c>
      <c r="I32" s="1002" t="s">
        <v>611</v>
      </c>
    </row>
    <row r="33" spans="1:9" s="289" customFormat="1" ht="10.7" customHeight="1">
      <c r="A33" s="985" t="s">
        <v>603</v>
      </c>
      <c r="B33" s="935">
        <v>14750</v>
      </c>
      <c r="C33" s="935">
        <v>31700</v>
      </c>
      <c r="D33" s="782">
        <v>52</v>
      </c>
      <c r="E33" s="991">
        <v>65042.2</v>
      </c>
      <c r="F33" s="1004">
        <v>198.67</v>
      </c>
      <c r="G33" s="1021">
        <v>283</v>
      </c>
      <c r="H33" s="1021">
        <v>31</v>
      </c>
      <c r="I33" s="1001" t="s">
        <v>603</v>
      </c>
    </row>
    <row r="34" spans="1:9" s="289" customFormat="1" ht="10.7" customHeight="1">
      <c r="A34" s="986" t="s">
        <v>612</v>
      </c>
      <c r="B34" s="918">
        <v>14750</v>
      </c>
      <c r="C34" s="918">
        <v>31700</v>
      </c>
      <c r="D34" s="850">
        <v>51</v>
      </c>
      <c r="E34" s="992">
        <v>65050.2</v>
      </c>
      <c r="F34" s="1005">
        <v>212.08</v>
      </c>
      <c r="G34" s="1020">
        <v>283</v>
      </c>
      <c r="H34" s="1020">
        <v>31</v>
      </c>
      <c r="I34" s="1002" t="s">
        <v>612</v>
      </c>
    </row>
    <row r="35" spans="1:9" s="289" customFormat="1" ht="10.7" customHeight="1">
      <c r="A35" s="985" t="s">
        <v>613</v>
      </c>
      <c r="B35" s="935">
        <v>14750</v>
      </c>
      <c r="C35" s="935">
        <v>31700</v>
      </c>
      <c r="D35" s="782">
        <v>50</v>
      </c>
      <c r="E35" s="991">
        <v>65059.7</v>
      </c>
      <c r="F35" s="1004">
        <v>205.03</v>
      </c>
      <c r="G35" s="1021">
        <v>283</v>
      </c>
      <c r="H35" s="1021">
        <v>31</v>
      </c>
      <c r="I35" s="1001" t="s">
        <v>613</v>
      </c>
    </row>
    <row r="36" spans="1:9" s="289" customFormat="1" ht="10.7" customHeight="1">
      <c r="A36" s="986" t="s">
        <v>604</v>
      </c>
      <c r="B36" s="918">
        <v>14750</v>
      </c>
      <c r="C36" s="918">
        <v>31700</v>
      </c>
      <c r="D36" s="850">
        <v>50</v>
      </c>
      <c r="E36" s="992">
        <v>65021.7</v>
      </c>
      <c r="F36" s="1005">
        <v>220.39</v>
      </c>
      <c r="G36" s="1020">
        <v>281</v>
      </c>
      <c r="H36" s="1020">
        <v>30</v>
      </c>
      <c r="I36" s="1002" t="s">
        <v>604</v>
      </c>
    </row>
    <row r="37" spans="1:9" s="289" customFormat="1" ht="10.7" customHeight="1">
      <c r="A37" s="985" t="s">
        <v>606</v>
      </c>
      <c r="B37" s="935">
        <v>14750</v>
      </c>
      <c r="C37" s="935">
        <v>31700</v>
      </c>
      <c r="D37" s="782">
        <v>51</v>
      </c>
      <c r="E37" s="935">
        <v>64906</v>
      </c>
      <c r="F37" s="1004">
        <v>251.07</v>
      </c>
      <c r="G37" s="1021">
        <v>279</v>
      </c>
      <c r="H37" s="1021">
        <v>26</v>
      </c>
      <c r="I37" s="1001" t="s">
        <v>606</v>
      </c>
    </row>
    <row r="38" spans="1:9" s="289" customFormat="1" ht="10.7" customHeight="1">
      <c r="A38" s="986" t="s">
        <v>607</v>
      </c>
      <c r="B38" s="918">
        <v>14750</v>
      </c>
      <c r="C38" s="918">
        <v>31700</v>
      </c>
      <c r="D38" s="850">
        <v>52</v>
      </c>
      <c r="E38" s="918">
        <v>64906</v>
      </c>
      <c r="F38" s="1005">
        <v>219.43</v>
      </c>
      <c r="G38" s="1020">
        <v>310</v>
      </c>
      <c r="H38" s="1020">
        <v>25</v>
      </c>
      <c r="I38" s="1002" t="s">
        <v>607</v>
      </c>
    </row>
    <row r="39" spans="1:9" s="289" customFormat="1" ht="10.7" customHeight="1">
      <c r="A39" s="985" t="s">
        <v>601</v>
      </c>
      <c r="B39" s="935">
        <v>14750</v>
      </c>
      <c r="C39" s="935">
        <v>31700</v>
      </c>
      <c r="D39" s="782">
        <v>51</v>
      </c>
      <c r="E39" s="935">
        <v>64506</v>
      </c>
      <c r="F39" s="1004">
        <v>241.38</v>
      </c>
      <c r="G39" s="1021">
        <v>355</v>
      </c>
      <c r="H39" s="1021">
        <v>22</v>
      </c>
      <c r="I39" s="1001" t="s">
        <v>601</v>
      </c>
    </row>
    <row r="40" spans="1:9" s="289" customFormat="1" ht="10.7" customHeight="1">
      <c r="A40" s="986" t="s">
        <v>608</v>
      </c>
      <c r="B40" s="918">
        <v>14750</v>
      </c>
      <c r="C40" s="918">
        <v>31700</v>
      </c>
      <c r="D40" s="850">
        <v>50</v>
      </c>
      <c r="E40" s="918">
        <v>64506</v>
      </c>
      <c r="F40" s="1005">
        <v>213.59</v>
      </c>
      <c r="G40" s="1020">
        <v>367</v>
      </c>
      <c r="H40" s="1020">
        <v>22</v>
      </c>
      <c r="I40" s="1002" t="s">
        <v>608</v>
      </c>
    </row>
    <row r="41" spans="1:9" s="289" customFormat="1" ht="10.7" customHeight="1">
      <c r="A41" s="985" t="s">
        <v>609</v>
      </c>
      <c r="B41" s="935">
        <v>14750</v>
      </c>
      <c r="C41" s="935">
        <v>31700</v>
      </c>
      <c r="D41" s="782">
        <v>50</v>
      </c>
      <c r="E41" s="935">
        <v>64506</v>
      </c>
      <c r="F41" s="1004">
        <v>217.17</v>
      </c>
      <c r="G41" s="1021">
        <v>367</v>
      </c>
      <c r="H41" s="1021">
        <v>22</v>
      </c>
      <c r="I41" s="1001" t="s">
        <v>609</v>
      </c>
    </row>
    <row r="42" spans="1:9" s="289" customFormat="1" ht="10.7" customHeight="1">
      <c r="A42" s="986" t="s">
        <v>602</v>
      </c>
      <c r="B42" s="918">
        <v>14750</v>
      </c>
      <c r="C42" s="918">
        <v>31700</v>
      </c>
      <c r="D42" s="850">
        <v>68</v>
      </c>
      <c r="E42" s="918">
        <v>64506</v>
      </c>
      <c r="F42" s="1005">
        <v>204.96</v>
      </c>
      <c r="G42" s="1020">
        <v>367</v>
      </c>
      <c r="H42" s="1020">
        <v>28</v>
      </c>
      <c r="I42" s="1002" t="s">
        <v>602</v>
      </c>
    </row>
    <row r="43" spans="1:9" s="289" customFormat="1" ht="10.7" customHeight="1">
      <c r="A43" s="988">
        <v>2022</v>
      </c>
      <c r="B43" s="935"/>
      <c r="C43" s="935"/>
      <c r="D43" s="782"/>
      <c r="E43" s="935"/>
      <c r="F43" s="1004"/>
      <c r="G43" s="1021"/>
      <c r="H43" s="1021"/>
      <c r="I43" s="1003">
        <v>2022</v>
      </c>
    </row>
    <row r="44" spans="1:9" s="289" customFormat="1" ht="10.7" customHeight="1">
      <c r="A44" s="986" t="s">
        <v>610</v>
      </c>
      <c r="B44" s="918">
        <v>14750</v>
      </c>
      <c r="C44" s="918">
        <v>31700</v>
      </c>
      <c r="D44" s="850">
        <v>49</v>
      </c>
      <c r="E44" s="918">
        <v>65700</v>
      </c>
      <c r="F44" s="1005">
        <v>212.57</v>
      </c>
      <c r="G44" s="1020">
        <v>367</v>
      </c>
      <c r="H44" s="1020">
        <v>29</v>
      </c>
      <c r="I44" s="1395" t="s">
        <v>610</v>
      </c>
    </row>
    <row r="45" spans="1:9" s="289" customFormat="1" ht="10.7" customHeight="1">
      <c r="A45" s="985" t="s">
        <v>611</v>
      </c>
      <c r="B45" s="935">
        <v>14750</v>
      </c>
      <c r="C45" s="935">
        <v>31700</v>
      </c>
      <c r="D45" s="782">
        <v>50</v>
      </c>
      <c r="E45" s="935">
        <v>65700</v>
      </c>
      <c r="F45" s="1004">
        <v>196.56</v>
      </c>
      <c r="G45" s="1021">
        <v>404</v>
      </c>
      <c r="H45" s="1021">
        <v>29</v>
      </c>
      <c r="I45" s="1405" t="s">
        <v>611</v>
      </c>
    </row>
    <row r="46" spans="1:9" s="289" customFormat="1" ht="10.7" customHeight="1">
      <c r="A46" s="986" t="s">
        <v>603</v>
      </c>
      <c r="B46" s="918">
        <v>11700</v>
      </c>
      <c r="C46" s="918">
        <v>25200</v>
      </c>
      <c r="D46" s="850">
        <v>50</v>
      </c>
      <c r="E46" s="918">
        <v>66100</v>
      </c>
      <c r="F46" s="1005">
        <v>213.26</v>
      </c>
      <c r="G46" s="1020">
        <v>497</v>
      </c>
      <c r="H46" s="1020">
        <v>29</v>
      </c>
      <c r="I46" s="1395" t="s">
        <v>603</v>
      </c>
    </row>
    <row r="47" spans="1:9" s="289" customFormat="1" ht="10.7" customHeight="1">
      <c r="A47" s="985" t="s">
        <v>612</v>
      </c>
      <c r="B47" s="935" t="s">
        <v>306</v>
      </c>
      <c r="C47" s="935" t="s">
        <v>306</v>
      </c>
      <c r="D47" s="782">
        <v>50</v>
      </c>
      <c r="E47" s="935">
        <v>66600</v>
      </c>
      <c r="F47" s="1004">
        <v>237.59</v>
      </c>
      <c r="G47" s="1021">
        <v>500</v>
      </c>
      <c r="H47" s="1021">
        <v>29</v>
      </c>
      <c r="I47" s="1405" t="s">
        <v>612</v>
      </c>
    </row>
    <row r="48" spans="1:9" s="289" customFormat="1" ht="10.7" customHeight="1">
      <c r="A48" s="986" t="s">
        <v>613</v>
      </c>
      <c r="B48" s="918" t="s">
        <v>306</v>
      </c>
      <c r="C48" s="918" t="s">
        <v>306</v>
      </c>
      <c r="D48" s="850">
        <v>50</v>
      </c>
      <c r="E48" s="918">
        <v>70700</v>
      </c>
      <c r="F48" s="1005">
        <v>224.68</v>
      </c>
      <c r="G48" s="1020">
        <v>463</v>
      </c>
      <c r="H48" s="1020">
        <v>29</v>
      </c>
      <c r="I48" s="1395" t="s">
        <v>613</v>
      </c>
    </row>
    <row r="49" spans="1:9" s="289" customFormat="1" ht="10.7" customHeight="1">
      <c r="A49" s="985" t="s">
        <v>604</v>
      </c>
      <c r="B49" s="935" t="s">
        <v>306</v>
      </c>
      <c r="C49" s="935" t="s">
        <v>306</v>
      </c>
      <c r="D49" s="782">
        <v>53</v>
      </c>
      <c r="E49" s="935">
        <v>68200</v>
      </c>
      <c r="F49" s="1004">
        <v>195.53</v>
      </c>
      <c r="G49" s="1021">
        <v>433</v>
      </c>
      <c r="H49" s="1021">
        <v>25</v>
      </c>
      <c r="I49" s="1405" t="s">
        <v>604</v>
      </c>
    </row>
    <row r="50" spans="1:9" s="289" customFormat="1" ht="10.7" customHeight="1">
      <c r="A50" s="986" t="s">
        <v>606</v>
      </c>
      <c r="B50" s="918" t="s">
        <v>306</v>
      </c>
      <c r="C50" s="918" t="s">
        <v>306</v>
      </c>
      <c r="D50" s="850">
        <v>54</v>
      </c>
      <c r="E50" s="918">
        <v>66200</v>
      </c>
      <c r="F50" s="1005">
        <v>240.3</v>
      </c>
      <c r="G50" s="1020">
        <v>454</v>
      </c>
      <c r="H50" s="1020">
        <v>31</v>
      </c>
      <c r="I50" s="1395" t="s">
        <v>606</v>
      </c>
    </row>
    <row r="51" spans="1:9" s="289" customFormat="1" ht="10.7" customHeight="1">
      <c r="A51" s="985" t="s">
        <v>607</v>
      </c>
      <c r="B51" s="935" t="s">
        <v>306</v>
      </c>
      <c r="C51" s="935" t="s">
        <v>306</v>
      </c>
      <c r="D51" s="782">
        <v>55</v>
      </c>
      <c r="E51" s="935">
        <v>72300</v>
      </c>
      <c r="F51" s="1004">
        <v>281</v>
      </c>
      <c r="G51" s="1021">
        <v>470</v>
      </c>
      <c r="H51" s="1021">
        <v>21</v>
      </c>
      <c r="I51" s="1405" t="s">
        <v>607</v>
      </c>
    </row>
    <row r="52" spans="1:9" s="289" customFormat="1" ht="10.7" customHeight="1">
      <c r="A52" s="986" t="s">
        <v>601</v>
      </c>
      <c r="B52" s="918" t="s">
        <v>306</v>
      </c>
      <c r="C52" s="918" t="s">
        <v>306</v>
      </c>
      <c r="D52" s="850">
        <v>56</v>
      </c>
      <c r="E52" s="918">
        <v>70600</v>
      </c>
      <c r="F52" s="1005">
        <v>221.89</v>
      </c>
      <c r="G52" s="1020">
        <v>450</v>
      </c>
      <c r="H52" s="1020">
        <v>21</v>
      </c>
      <c r="I52" s="1395" t="s">
        <v>601</v>
      </c>
    </row>
    <row r="53" spans="1:9" s="289" customFormat="1" ht="10.7" customHeight="1" thickBot="1">
      <c r="A53" s="1655" t="s">
        <v>608</v>
      </c>
      <c r="B53" s="1656" t="s">
        <v>306</v>
      </c>
      <c r="C53" s="1656" t="s">
        <v>306</v>
      </c>
      <c r="D53" s="1417">
        <v>56</v>
      </c>
      <c r="E53" s="1656">
        <v>68700</v>
      </c>
      <c r="F53" s="1657">
        <v>225.08</v>
      </c>
      <c r="G53" s="1658">
        <v>450</v>
      </c>
      <c r="H53" s="1658">
        <v>21</v>
      </c>
      <c r="I53" s="1659" t="s">
        <v>608</v>
      </c>
    </row>
    <row r="54" spans="1:9" s="40" customFormat="1" ht="10.7" customHeight="1">
      <c r="A54" s="883" t="s">
        <v>2130</v>
      </c>
      <c r="B54" s="1075" t="s">
        <v>1381</v>
      </c>
      <c r="C54" s="1852"/>
      <c r="D54" s="1852"/>
      <c r="F54" s="1851" t="s">
        <v>1776</v>
      </c>
      <c r="G54" s="1851"/>
      <c r="H54" s="50"/>
      <c r="I54" s="50"/>
    </row>
    <row r="55" spans="1:9" s="40" customFormat="1" ht="10.7" customHeight="1">
      <c r="A55" s="44"/>
      <c r="B55" s="144" t="s">
        <v>1532</v>
      </c>
      <c r="C55" s="50"/>
      <c r="D55" s="1390"/>
      <c r="E55" s="50"/>
      <c r="F55" s="1852" t="s">
        <v>1382</v>
      </c>
      <c r="G55" s="1852"/>
      <c r="H55" s="1390"/>
      <c r="I55" s="50"/>
    </row>
    <row r="56" spans="1:9" s="40" customFormat="1" ht="12" customHeight="1">
      <c r="C56" s="144"/>
      <c r="D56" s="50"/>
      <c r="F56" s="1647" t="s">
        <v>1383</v>
      </c>
      <c r="G56" s="50"/>
      <c r="H56" s="1390"/>
      <c r="I56" s="50"/>
    </row>
    <row r="57" spans="1:9" ht="12.6" customHeight="1">
      <c r="A57" s="40"/>
      <c r="B57" s="1073"/>
      <c r="C57" s="40"/>
      <c r="D57" s="40"/>
      <c r="E57" s="40"/>
      <c r="F57" s="40"/>
      <c r="G57" s="40"/>
      <c r="H57" s="1074"/>
      <c r="I57" s="40"/>
    </row>
    <row r="58" spans="1: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17">
    <mergeCell ref="G3:G5"/>
    <mergeCell ref="F54:G54"/>
    <mergeCell ref="I2:I5"/>
    <mergeCell ref="C54:D54"/>
    <mergeCell ref="F55:G55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39370078740157499" top="0.511811023622047" bottom="0.511811023622047" header="0" footer="0.51333337007869995"/>
  <pageSetup paperSize="145" firstPageNumber="44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F85" sqref="F85"/>
      <selection pane="topRight" activeCell="F85" sqref="F85"/>
      <selection pane="bottomLeft" activeCell="F85" sqref="F85"/>
      <selection pane="bottomRight" activeCell="P73" sqref="P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31" t="s">
        <v>2354</v>
      </c>
      <c r="B1" s="2131"/>
      <c r="C1" s="2131"/>
      <c r="D1" s="2131"/>
      <c r="E1" s="2131"/>
      <c r="F1" s="2131"/>
      <c r="G1" s="2131"/>
      <c r="H1" s="2131"/>
      <c r="I1" s="2131"/>
      <c r="J1" s="2131"/>
      <c r="K1" s="2131"/>
      <c r="L1" s="2131" t="s">
        <v>2355</v>
      </c>
      <c r="M1" s="2131"/>
      <c r="N1" s="2131"/>
      <c r="O1" s="2131"/>
      <c r="P1" s="2131"/>
      <c r="Q1" s="2131"/>
      <c r="R1" s="2131"/>
      <c r="S1" s="2131"/>
      <c r="T1" s="2131"/>
      <c r="U1" s="2110" t="s">
        <v>1203</v>
      </c>
      <c r="V1" s="2110"/>
      <c r="W1" s="55"/>
    </row>
    <row r="2" spans="1:24" s="21" customFormat="1" ht="12.75" customHeight="1">
      <c r="A2" s="1149"/>
      <c r="B2" s="1149"/>
      <c r="C2" s="1149"/>
      <c r="D2" s="1149"/>
      <c r="E2" s="1149"/>
      <c r="F2" s="1149"/>
      <c r="G2" s="1149"/>
      <c r="I2" s="1149"/>
      <c r="L2" s="1149"/>
      <c r="M2" s="1149"/>
      <c r="N2" s="1149"/>
      <c r="O2" s="1149"/>
      <c r="P2" s="1149"/>
      <c r="Q2" s="1149"/>
      <c r="R2" s="1149"/>
      <c r="T2" s="93"/>
      <c r="U2" s="2141" t="s">
        <v>24</v>
      </c>
      <c r="V2" s="2141"/>
      <c r="W2" s="93"/>
    </row>
    <row r="3" spans="1:24" s="91" customFormat="1" ht="71.25" customHeight="1">
      <c r="A3" s="2142" t="s">
        <v>527</v>
      </c>
      <c r="B3" s="1304" t="s">
        <v>1416</v>
      </c>
      <c r="C3" s="1304" t="s">
        <v>550</v>
      </c>
      <c r="D3" s="1304" t="s">
        <v>2356</v>
      </c>
      <c r="E3" s="1304" t="s">
        <v>278</v>
      </c>
      <c r="F3" s="1304" t="s">
        <v>2357</v>
      </c>
      <c r="G3" s="1304" t="s">
        <v>279</v>
      </c>
      <c r="H3" s="1304" t="s">
        <v>1409</v>
      </c>
      <c r="I3" s="1304" t="s">
        <v>1410</v>
      </c>
      <c r="J3" s="1304" t="s">
        <v>1411</v>
      </c>
      <c r="K3" s="1304" t="s">
        <v>280</v>
      </c>
      <c r="L3" s="1304" t="s">
        <v>1412</v>
      </c>
      <c r="M3" s="1304" t="s">
        <v>1413</v>
      </c>
      <c r="N3" s="1304" t="s">
        <v>2358</v>
      </c>
      <c r="O3" s="1304" t="s">
        <v>1414</v>
      </c>
      <c r="P3" s="1304" t="s">
        <v>1415</v>
      </c>
      <c r="Q3" s="1304" t="s">
        <v>2359</v>
      </c>
      <c r="R3" s="1304" t="s">
        <v>276</v>
      </c>
      <c r="S3" s="1304" t="s">
        <v>2360</v>
      </c>
      <c r="T3" s="1320" t="s">
        <v>277</v>
      </c>
      <c r="U3" s="1321" t="s">
        <v>711</v>
      </c>
      <c r="V3" s="2142" t="s">
        <v>527</v>
      </c>
      <c r="W3" s="94"/>
      <c r="X3" s="94"/>
    </row>
    <row r="4" spans="1:24" s="81" customFormat="1">
      <c r="A4" s="2143"/>
      <c r="B4" s="1301">
        <v>1</v>
      </c>
      <c r="C4" s="1301">
        <v>2</v>
      </c>
      <c r="D4" s="1301">
        <v>3</v>
      </c>
      <c r="E4" s="1301">
        <v>4</v>
      </c>
      <c r="F4" s="1301">
        <v>5</v>
      </c>
      <c r="G4" s="1301">
        <v>6</v>
      </c>
      <c r="H4" s="1301">
        <v>7</v>
      </c>
      <c r="I4" s="1301">
        <v>8</v>
      </c>
      <c r="J4" s="1301">
        <v>9</v>
      </c>
      <c r="K4" s="1301">
        <v>10</v>
      </c>
      <c r="L4" s="1301">
        <v>11</v>
      </c>
      <c r="M4" s="1301">
        <v>12</v>
      </c>
      <c r="N4" s="1301">
        <v>13</v>
      </c>
      <c r="O4" s="1301">
        <v>14</v>
      </c>
      <c r="P4" s="1301">
        <v>15</v>
      </c>
      <c r="Q4" s="1301">
        <v>16</v>
      </c>
      <c r="R4" s="1301">
        <v>17</v>
      </c>
      <c r="S4" s="1301">
        <v>18</v>
      </c>
      <c r="T4" s="1301">
        <v>19</v>
      </c>
      <c r="U4" s="1301">
        <v>20</v>
      </c>
      <c r="V4" s="2143"/>
      <c r="W4" s="1322"/>
      <c r="X4" s="1323"/>
    </row>
    <row r="5" spans="1:24" s="1327" customFormat="1" ht="9" customHeight="1">
      <c r="A5" s="2144" t="s">
        <v>2349</v>
      </c>
      <c r="B5" s="2144"/>
      <c r="C5" s="2144"/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T5" s="1324"/>
      <c r="U5" s="1324"/>
      <c r="V5" s="379"/>
      <c r="W5" s="1325"/>
      <c r="X5" s="1326"/>
    </row>
    <row r="6" spans="1:24" s="33" customFormat="1" ht="8.25" customHeight="1">
      <c r="A6" s="1328" t="s">
        <v>605</v>
      </c>
      <c r="B6" s="1329">
        <v>70171</v>
      </c>
      <c r="C6" s="1329">
        <v>16814</v>
      </c>
      <c r="D6" s="1329">
        <v>7009</v>
      </c>
      <c r="E6" s="1329">
        <v>73834</v>
      </c>
      <c r="F6" s="1329">
        <v>5553</v>
      </c>
      <c r="G6" s="1329">
        <v>29825</v>
      </c>
      <c r="H6" s="1329">
        <v>62352</v>
      </c>
      <c r="I6" s="1329">
        <v>3467</v>
      </c>
      <c r="J6" s="1329">
        <v>46497</v>
      </c>
      <c r="K6" s="1329">
        <v>14216</v>
      </c>
      <c r="L6" s="1329">
        <v>37935</v>
      </c>
      <c r="M6" s="1329">
        <v>14089</v>
      </c>
      <c r="N6" s="1329">
        <v>9962</v>
      </c>
      <c r="O6" s="1329">
        <v>9288</v>
      </c>
      <c r="P6" s="1329">
        <v>56600</v>
      </c>
      <c r="Q6" s="1330">
        <f>SUM(B6:P6)</f>
        <v>457612</v>
      </c>
      <c r="R6" s="1329">
        <v>24725</v>
      </c>
      <c r="S6" s="1329">
        <f>Q6+R6</f>
        <v>482337</v>
      </c>
      <c r="T6" s="1329">
        <v>27208</v>
      </c>
      <c r="U6" s="1329">
        <f>S6+T6</f>
        <v>509545</v>
      </c>
      <c r="V6" s="1342" t="s">
        <v>605</v>
      </c>
    </row>
    <row r="7" spans="1:24" s="243" customFormat="1" ht="8.1" customHeight="1">
      <c r="A7" s="188"/>
      <c r="B7" s="1331">
        <f>(B6/S6)*100</f>
        <v>14.548127139323752</v>
      </c>
      <c r="C7" s="1331">
        <f>(C6/S6)*100</f>
        <v>3.4859444745064136</v>
      </c>
      <c r="D7" s="1331">
        <f>(D6/S6)*100</f>
        <v>1.4531333901400889</v>
      </c>
      <c r="E7" s="1331">
        <f>(E6/S6)*100</f>
        <v>15.307554676502114</v>
      </c>
      <c r="F7" s="1331">
        <f>(F6/S6)*100</f>
        <v>1.151269755378501</v>
      </c>
      <c r="G7" s="1331">
        <f>(G6/S6)*100</f>
        <v>6.1834360623381581</v>
      </c>
      <c r="H7" s="1331">
        <f>(H6/S6)*100</f>
        <v>12.927061369955032</v>
      </c>
      <c r="I7" s="1331">
        <f>(I6/S6)*100</f>
        <v>0.71879204788353368</v>
      </c>
      <c r="J7" s="1331">
        <f>(J6/S6)*100</f>
        <v>9.6399405394983173</v>
      </c>
      <c r="K7" s="1331">
        <f>(K6/S6)*100</f>
        <v>2.9473169174249541</v>
      </c>
      <c r="L7" s="1331">
        <f>(L6/S6)*100</f>
        <v>7.8648330938741999</v>
      </c>
      <c r="M7" s="1331">
        <f>(M6/S6)*100</f>
        <v>2.9209867789533042</v>
      </c>
      <c r="N7" s="1331">
        <f>(N6/S6)*100</f>
        <v>2.0653609405871829</v>
      </c>
      <c r="O7" s="1331">
        <f>(O6/S6)*100</f>
        <v>1.9256246151549643</v>
      </c>
      <c r="P7" s="1331">
        <f>(P6/S6)*100</f>
        <v>11.734534153506781</v>
      </c>
      <c r="Q7" s="1331">
        <f>(Q6/S6)*100</f>
        <v>94.8739159550273</v>
      </c>
      <c r="R7" s="1331">
        <f>(R6/S6)*100</f>
        <v>5.1260840449727052</v>
      </c>
      <c r="S7" s="1331">
        <f>(S6/S6)*100</f>
        <v>100</v>
      </c>
      <c r="T7" s="1332"/>
      <c r="U7" s="1332"/>
      <c r="V7" s="304"/>
    </row>
    <row r="8" spans="1:24" s="33" customFormat="1" ht="8.1" customHeight="1">
      <c r="A8" s="1333" t="s">
        <v>614</v>
      </c>
      <c r="B8" s="1329">
        <v>79010</v>
      </c>
      <c r="C8" s="1329">
        <v>18890</v>
      </c>
      <c r="D8" s="1329">
        <v>7866</v>
      </c>
      <c r="E8" s="1329">
        <v>87606</v>
      </c>
      <c r="F8" s="1329">
        <v>5720</v>
      </c>
      <c r="G8" s="1329">
        <v>33513</v>
      </c>
      <c r="H8" s="1329">
        <v>72971</v>
      </c>
      <c r="I8" s="1329">
        <v>4069</v>
      </c>
      <c r="J8" s="1329">
        <v>53132</v>
      </c>
      <c r="K8" s="1329">
        <v>16265</v>
      </c>
      <c r="L8" s="1329">
        <v>41337</v>
      </c>
      <c r="M8" s="1329">
        <v>17132</v>
      </c>
      <c r="N8" s="1329">
        <v>11853</v>
      </c>
      <c r="O8" s="1329">
        <v>10453</v>
      </c>
      <c r="P8" s="1329">
        <v>63544</v>
      </c>
      <c r="Q8" s="1330">
        <f>SUM(B8:P8)</f>
        <v>523361</v>
      </c>
      <c r="R8" s="1329">
        <v>26439</v>
      </c>
      <c r="S8" s="1329">
        <f>Q8+R8</f>
        <v>549800</v>
      </c>
      <c r="T8" s="1329">
        <v>35276</v>
      </c>
      <c r="U8" s="1329">
        <f>S8+T8</f>
        <v>585076</v>
      </c>
      <c r="V8" s="1342" t="s">
        <v>614</v>
      </c>
    </row>
    <row r="9" spans="1:24" s="243" customFormat="1" ht="8.1" customHeight="1">
      <c r="A9" s="188"/>
      <c r="B9" s="1331">
        <f>(B8/S8)*100</f>
        <v>14.370680247362678</v>
      </c>
      <c r="C9" s="1331">
        <f>(C8/S8)*100</f>
        <v>3.4357948344852671</v>
      </c>
      <c r="D9" s="1331">
        <f>(D8/S8)*100</f>
        <v>1.4307020734812659</v>
      </c>
      <c r="E9" s="1331">
        <f>(E8/S8)*100</f>
        <v>15.934157875591124</v>
      </c>
      <c r="F9" s="1331">
        <f>(F8/S8)*100</f>
        <v>1.0403783193888687</v>
      </c>
      <c r="G9" s="1331">
        <f>(G8/S8)*100</f>
        <v>6.0954892688250268</v>
      </c>
      <c r="H9" s="1331">
        <f>(H8/S8)*100</f>
        <v>13.272280829392507</v>
      </c>
      <c r="I9" s="1331">
        <f>(I8/S8)*100</f>
        <v>0.74008730447435422</v>
      </c>
      <c r="J9" s="1331">
        <f>(J8/S8)*100</f>
        <v>9.663877773735905</v>
      </c>
      <c r="K9" s="1331">
        <f>(K8/S8)*100</f>
        <v>2.9583484903601307</v>
      </c>
      <c r="L9" s="1331">
        <f>(L8/S8)*100</f>
        <v>7.5185522008002907</v>
      </c>
      <c r="M9" s="1331">
        <f>(M8/S8)*100</f>
        <v>3.1160421971626042</v>
      </c>
      <c r="N9" s="1331">
        <f>(N8/S8)*100</f>
        <v>2.1558748635867588</v>
      </c>
      <c r="O9" s="1331">
        <f>(O8/S8)*100</f>
        <v>1.9012368133866859</v>
      </c>
      <c r="P9" s="1331">
        <f>(P8/S8)*100</f>
        <v>11.557657329938159</v>
      </c>
      <c r="Q9" s="1331">
        <f>(Q8/S8)*100</f>
        <v>95.191160421971617</v>
      </c>
      <c r="R9" s="1331">
        <f>(R8/S8)*100</f>
        <v>4.8088395780283744</v>
      </c>
      <c r="S9" s="1331">
        <f>(S8/S8)*100</f>
        <v>100</v>
      </c>
      <c r="T9" s="1332"/>
      <c r="U9" s="1332"/>
      <c r="V9" s="304"/>
    </row>
    <row r="10" spans="1:24" s="33" customFormat="1" ht="8.1" customHeight="1">
      <c r="A10" s="1333" t="s">
        <v>362</v>
      </c>
      <c r="B10" s="1329">
        <v>89986</v>
      </c>
      <c r="C10" s="1329">
        <v>20635</v>
      </c>
      <c r="D10" s="1329">
        <v>9110</v>
      </c>
      <c r="E10" s="1329">
        <v>101371</v>
      </c>
      <c r="F10" s="1329">
        <v>6441</v>
      </c>
      <c r="G10" s="1329">
        <v>38532</v>
      </c>
      <c r="H10" s="1329">
        <v>86149</v>
      </c>
      <c r="I10" s="1329">
        <v>4826</v>
      </c>
      <c r="J10" s="1329">
        <v>59620</v>
      </c>
      <c r="K10" s="1329">
        <v>18702</v>
      </c>
      <c r="L10" s="1329">
        <v>45118</v>
      </c>
      <c r="M10" s="1329">
        <v>19664</v>
      </c>
      <c r="N10" s="1329">
        <v>14332</v>
      </c>
      <c r="O10" s="1329">
        <v>12164</v>
      </c>
      <c r="P10" s="1329">
        <v>72200</v>
      </c>
      <c r="Q10" s="1330">
        <f>SUM(B10:P10)</f>
        <v>598850</v>
      </c>
      <c r="R10" s="1329">
        <v>29832</v>
      </c>
      <c r="S10" s="1329">
        <f>Q10+R10</f>
        <v>628682</v>
      </c>
      <c r="T10" s="1329">
        <v>48390</v>
      </c>
      <c r="U10" s="1329">
        <f>S10+T10</f>
        <v>677072</v>
      </c>
      <c r="V10" s="1342" t="s">
        <v>362</v>
      </c>
    </row>
    <row r="11" spans="1:24" s="243" customFormat="1" ht="8.1" customHeight="1">
      <c r="A11" s="188"/>
      <c r="B11" s="1331">
        <f>(B10/S10)*100</f>
        <v>14.313436681820061</v>
      </c>
      <c r="C11" s="1331">
        <f>(C10/S10)*100</f>
        <v>3.2822635290973818</v>
      </c>
      <c r="D11" s="1331">
        <f>(D10/S10)*100</f>
        <v>1.4490632784142061</v>
      </c>
      <c r="E11" s="1331">
        <f>(E10/S10)*100</f>
        <v>16.124368122516628</v>
      </c>
      <c r="F11" s="1331">
        <f>(F10/S10)*100</f>
        <v>1.0245243223123932</v>
      </c>
      <c r="G11" s="1331">
        <f>(G10/S10)*100</f>
        <v>6.1290127600281217</v>
      </c>
      <c r="H11" s="1331">
        <f>(H10/S10)*100</f>
        <v>13.703112225258558</v>
      </c>
      <c r="I11" s="1331">
        <f>(I10/S10)*100</f>
        <v>0.76763769282403505</v>
      </c>
      <c r="J11" s="1331">
        <f>(J10/S10)*100</f>
        <v>9.4833317957250252</v>
      </c>
      <c r="K11" s="1331">
        <f>(K10/S10)*100</f>
        <v>2.9747948883537307</v>
      </c>
      <c r="L11" s="1331">
        <f>(L10/S10)*100</f>
        <v>7.1766012069695018</v>
      </c>
      <c r="M11" s="1331">
        <f>(M10/S10)*100</f>
        <v>3.1278134255474148</v>
      </c>
      <c r="N11" s="1331">
        <f>(N10/S10)*100</f>
        <v>2.2796898909146437</v>
      </c>
      <c r="O11" s="1331">
        <f>(O10/S10)*100</f>
        <v>1.9348414619791883</v>
      </c>
      <c r="P11" s="1331">
        <f>(P10/S10)*100</f>
        <v>11.484343435950132</v>
      </c>
      <c r="Q11" s="1331">
        <f>(Q10/S10)*100</f>
        <v>95.25483471771102</v>
      </c>
      <c r="R11" s="1331">
        <f>(R10/S10)*100</f>
        <v>4.7451652822889798</v>
      </c>
      <c r="S11" s="1331">
        <f>(S10/S10)*100</f>
        <v>100</v>
      </c>
      <c r="T11" s="1332"/>
      <c r="U11" s="1332"/>
      <c r="V11" s="304"/>
    </row>
    <row r="12" spans="1:24" s="33" customFormat="1" ht="8.1" customHeight="1">
      <c r="A12" s="1333" t="s">
        <v>85</v>
      </c>
      <c r="B12" s="1329">
        <v>97807</v>
      </c>
      <c r="C12" s="1329">
        <v>22793</v>
      </c>
      <c r="D12" s="1329">
        <v>10963</v>
      </c>
      <c r="E12" s="1329">
        <v>116197</v>
      </c>
      <c r="F12" s="1329">
        <v>7012</v>
      </c>
      <c r="G12" s="1329">
        <v>44180</v>
      </c>
      <c r="H12" s="1329">
        <v>96094</v>
      </c>
      <c r="I12" s="1329">
        <v>5790</v>
      </c>
      <c r="J12" s="1329">
        <v>67185</v>
      </c>
      <c r="K12" s="1329">
        <v>20003</v>
      </c>
      <c r="L12" s="1329">
        <v>49448</v>
      </c>
      <c r="M12" s="1329">
        <v>22464</v>
      </c>
      <c r="N12" s="1329">
        <v>16250</v>
      </c>
      <c r="O12" s="1329">
        <v>13368</v>
      </c>
      <c r="P12" s="1329">
        <v>85366</v>
      </c>
      <c r="Q12" s="1330">
        <f>SUM(B12:P12)</f>
        <v>674920</v>
      </c>
      <c r="R12" s="1329">
        <v>30152</v>
      </c>
      <c r="S12" s="1329">
        <f>Q12+R12</f>
        <v>705072</v>
      </c>
      <c r="T12" s="1329">
        <v>55901</v>
      </c>
      <c r="U12" s="1329">
        <f>S12+T12</f>
        <v>760973</v>
      </c>
      <c r="V12" s="1342" t="s">
        <v>85</v>
      </c>
    </row>
    <row r="13" spans="1:24" s="243" customFormat="1" ht="8.1" customHeight="1">
      <c r="A13" s="188"/>
      <c r="B13" s="1331">
        <f>(B12/S12)*100</f>
        <v>13.871916626954411</v>
      </c>
      <c r="C13" s="1331">
        <f>(C12/S12)*100</f>
        <v>3.2327194953139538</v>
      </c>
      <c r="D13" s="1331">
        <f>(D12/S12)*100</f>
        <v>1.5548766650781765</v>
      </c>
      <c r="E13" s="1331">
        <f>(E12/S12)*100</f>
        <v>16.480160891369959</v>
      </c>
      <c r="F13" s="1331">
        <f>(F12/S12)*100</f>
        <v>0.99450836226654871</v>
      </c>
      <c r="G13" s="1331">
        <f>(G12/S12)*100</f>
        <v>6.266026732021694</v>
      </c>
      <c r="H13" s="1331">
        <f>(H12/S12)*100</f>
        <v>13.628962715864478</v>
      </c>
      <c r="I13" s="1331">
        <f>(I12/S12)*100</f>
        <v>0.82119272925318265</v>
      </c>
      <c r="J13" s="1331">
        <f>(J12/S12)*100</f>
        <v>9.5288140785621902</v>
      </c>
      <c r="K13" s="1331">
        <f>(K12/S12)*100</f>
        <v>2.8370152268137154</v>
      </c>
      <c r="L13" s="1331">
        <f>(L12/S12)*100</f>
        <v>7.0131844691038641</v>
      </c>
      <c r="M13" s="1331">
        <f>(M12/S12)*100</f>
        <v>3.1860575941180476</v>
      </c>
      <c r="N13" s="1331">
        <f>(N12/S12)*100</f>
        <v>2.3047291624117823</v>
      </c>
      <c r="O13" s="1331">
        <f>(O12/S12)*100</f>
        <v>1.8959765811151201</v>
      </c>
      <c r="P13" s="1331">
        <f>(P12/S12)*100</f>
        <v>12.10741598021195</v>
      </c>
      <c r="Q13" s="1331">
        <f>(Q12/S12)*100</f>
        <v>95.723557310459071</v>
      </c>
      <c r="R13" s="1331">
        <f>(R12/S12)*100</f>
        <v>4.276442689540926</v>
      </c>
      <c r="S13" s="1331">
        <f>(S12/S12)*100</f>
        <v>100</v>
      </c>
      <c r="T13" s="1332"/>
      <c r="U13" s="1332"/>
      <c r="V13" s="304"/>
    </row>
    <row r="14" spans="1:24" s="33" customFormat="1" ht="8.1" customHeight="1">
      <c r="A14" s="1334" t="s">
        <v>81</v>
      </c>
      <c r="B14" s="1335">
        <v>110990</v>
      </c>
      <c r="C14" s="1335">
        <v>24601</v>
      </c>
      <c r="D14" s="1335">
        <v>12645</v>
      </c>
      <c r="E14" s="1335">
        <v>128573</v>
      </c>
      <c r="F14" s="1335">
        <v>8346</v>
      </c>
      <c r="G14" s="1335">
        <v>49474</v>
      </c>
      <c r="H14" s="1335">
        <v>106606</v>
      </c>
      <c r="I14" s="1335">
        <v>7028</v>
      </c>
      <c r="J14" s="1335">
        <v>80454</v>
      </c>
      <c r="K14" s="1335">
        <v>23448</v>
      </c>
      <c r="L14" s="1335">
        <v>54432</v>
      </c>
      <c r="M14" s="1335">
        <v>25426</v>
      </c>
      <c r="N14" s="1335">
        <v>18257</v>
      </c>
      <c r="O14" s="1335">
        <v>15326</v>
      </c>
      <c r="P14" s="1335">
        <v>95692</v>
      </c>
      <c r="Q14" s="1330">
        <f>SUM(B14:P14)</f>
        <v>761298</v>
      </c>
      <c r="R14" s="1335">
        <v>36241</v>
      </c>
      <c r="S14" s="1329">
        <f>Q14+R14</f>
        <v>797539</v>
      </c>
      <c r="T14" s="1335">
        <v>64604</v>
      </c>
      <c r="U14" s="1329">
        <f>S14+T14</f>
        <v>862143</v>
      </c>
      <c r="V14" s="1383" t="s">
        <v>81</v>
      </c>
    </row>
    <row r="15" spans="1:24" s="243" customFormat="1" ht="8.1" customHeight="1">
      <c r="A15" s="188"/>
      <c r="B15" s="1331">
        <f>(B14/S14)*100</f>
        <v>13.916560820223211</v>
      </c>
      <c r="C15" s="1331">
        <f>(C14/S14)*100</f>
        <v>3.0846140439527097</v>
      </c>
      <c r="D15" s="1331">
        <f>(D14/S14)*100</f>
        <v>1.5855024017634247</v>
      </c>
      <c r="E15" s="1331">
        <f>(E14/S14)*100</f>
        <v>16.121217896554274</v>
      </c>
      <c r="F15" s="1331">
        <f>(F14/S14)*100</f>
        <v>1.0464692008792047</v>
      </c>
      <c r="G15" s="1331">
        <f>(G14/S14)*100</f>
        <v>6.2033330031509433</v>
      </c>
      <c r="H15" s="1331">
        <f>(H14/S14)*100</f>
        <v>13.366869833324765</v>
      </c>
      <c r="I15" s="1331">
        <f>(I14/S14)*100</f>
        <v>0.8812108247997904</v>
      </c>
      <c r="J15" s="1331">
        <f>(J14/S14)*100</f>
        <v>10.08778254104188</v>
      </c>
      <c r="K15" s="1331">
        <f>(K14/S14)*100</f>
        <v>2.9400443113126755</v>
      </c>
      <c r="L15" s="1331">
        <f>(L14/S14)*100</f>
        <v>6.8249953920748698</v>
      </c>
      <c r="M15" s="1331">
        <f>(M14/S14)*100</f>
        <v>3.1880572611496114</v>
      </c>
      <c r="N15" s="1331">
        <f>(N14/S14)*100</f>
        <v>2.289167050137987</v>
      </c>
      <c r="O15" s="1331">
        <f>(O14/S14)*100</f>
        <v>1.9216615112239026</v>
      </c>
      <c r="P15" s="1331">
        <f>(P14/S14)*100</f>
        <v>11.998410109098113</v>
      </c>
      <c r="Q15" s="1331">
        <f>(Q14/S14)*100</f>
        <v>95.455896200687363</v>
      </c>
      <c r="R15" s="1331">
        <f>(R14/S14)*100</f>
        <v>4.5441037993126354</v>
      </c>
      <c r="S15" s="1331">
        <f>(S14/S14)*100</f>
        <v>100</v>
      </c>
      <c r="T15" s="1332"/>
      <c r="U15" s="1332"/>
      <c r="V15" s="304"/>
    </row>
    <row r="16" spans="1:24" s="33" customFormat="1" ht="8.1" customHeight="1">
      <c r="A16" s="1333" t="s">
        <v>199</v>
      </c>
      <c r="B16" s="1329">
        <v>125469</v>
      </c>
      <c r="C16" s="1329">
        <v>28482</v>
      </c>
      <c r="D16" s="1329">
        <v>14208</v>
      </c>
      <c r="E16" s="1329">
        <v>146503</v>
      </c>
      <c r="F16" s="1329">
        <v>11589</v>
      </c>
      <c r="G16" s="1329">
        <v>57072</v>
      </c>
      <c r="H16" s="1329">
        <v>121332</v>
      </c>
      <c r="I16" s="1329">
        <v>8228</v>
      </c>
      <c r="J16" s="1329">
        <v>94571</v>
      </c>
      <c r="K16" s="1329">
        <v>27545</v>
      </c>
      <c r="L16" s="1329">
        <v>60119</v>
      </c>
      <c r="M16" s="1329">
        <v>30282</v>
      </c>
      <c r="N16" s="1329">
        <v>21392</v>
      </c>
      <c r="O16" s="1329">
        <v>17731</v>
      </c>
      <c r="P16" s="1329">
        <v>104608</v>
      </c>
      <c r="Q16" s="1330">
        <f>SUM(B16:P16)</f>
        <v>869131</v>
      </c>
      <c r="R16" s="1329">
        <v>46698</v>
      </c>
      <c r="S16" s="1329">
        <f>Q16+R16</f>
        <v>915829</v>
      </c>
      <c r="T16" s="1329">
        <v>72513</v>
      </c>
      <c r="U16" s="1329">
        <f>S16+T16</f>
        <v>988342</v>
      </c>
      <c r="V16" s="1342" t="s">
        <v>199</v>
      </c>
    </row>
    <row r="17" spans="1:22" s="243" customFormat="1" ht="8.1" customHeight="1">
      <c r="A17" s="188"/>
      <c r="B17" s="1331">
        <f>(B16/S16)*100</f>
        <v>13.700046624424427</v>
      </c>
      <c r="C17" s="1331">
        <f>(C16/S16)*100</f>
        <v>3.109969219144622</v>
      </c>
      <c r="D17" s="1331">
        <f>(D16/S16)*100</f>
        <v>1.5513813168178776</v>
      </c>
      <c r="E17" s="1331">
        <f>(E16/S16)*100</f>
        <v>15.996763587962381</v>
      </c>
      <c r="F17" s="1331">
        <f>(F16/S16)*100</f>
        <v>1.2654109009432983</v>
      </c>
      <c r="G17" s="1331">
        <f>(G16/S16)*100</f>
        <v>6.2317310327582991</v>
      </c>
      <c r="H17" s="1331">
        <f>(H16/S16)*100</f>
        <v>13.248324741845913</v>
      </c>
      <c r="I17" s="1331">
        <f>(I16/S16)*100</f>
        <v>0.89842099343873139</v>
      </c>
      <c r="J17" s="1331">
        <f>(J16/S16)*100</f>
        <v>10.326272699379469</v>
      </c>
      <c r="K17" s="1331">
        <f>(K16/S16)*100</f>
        <v>3.0076575430566188</v>
      </c>
      <c r="L17" s="1331">
        <f>(L16/S16)*100</f>
        <v>6.5644350637509845</v>
      </c>
      <c r="M17" s="1331">
        <f>(M16/S16)*100</f>
        <v>3.3065124602955356</v>
      </c>
      <c r="N17" s="1331">
        <f>(N16/S16)*100</f>
        <v>2.3358072303890793</v>
      </c>
      <c r="O17" s="1331">
        <f>(O16/S16)*100</f>
        <v>1.9360601160260269</v>
      </c>
      <c r="P17" s="1331">
        <f>(P16/S16)*100</f>
        <v>11.422219650174869</v>
      </c>
      <c r="Q17" s="1331">
        <f>(Q16/S16)*100</f>
        <v>94.901013180408128</v>
      </c>
      <c r="R17" s="1331">
        <f>(R16/S16)*100</f>
        <v>5.0989868195918673</v>
      </c>
      <c r="S17" s="1331">
        <f>(S16/S16)*100</f>
        <v>100</v>
      </c>
      <c r="T17" s="1332"/>
      <c r="U17" s="1332"/>
      <c r="V17" s="304"/>
    </row>
    <row r="18" spans="1:22" s="33" customFormat="1" ht="8.1" customHeight="1">
      <c r="A18" s="1333" t="s">
        <v>792</v>
      </c>
      <c r="B18" s="1329">
        <v>138879</v>
      </c>
      <c r="C18" s="1329">
        <v>31827</v>
      </c>
      <c r="D18" s="1329">
        <v>16650</v>
      </c>
      <c r="E18" s="1329">
        <v>167928</v>
      </c>
      <c r="F18" s="1329">
        <v>14189</v>
      </c>
      <c r="G18" s="1329">
        <v>68305</v>
      </c>
      <c r="H18" s="1329">
        <v>137396</v>
      </c>
      <c r="I18" s="1329">
        <v>9755</v>
      </c>
      <c r="J18" s="1329">
        <v>112702</v>
      </c>
      <c r="K18" s="1329">
        <v>36316</v>
      </c>
      <c r="L18" s="1329">
        <v>68715</v>
      </c>
      <c r="M18" s="1329">
        <v>33499</v>
      </c>
      <c r="N18" s="1329">
        <v>25048</v>
      </c>
      <c r="O18" s="1329">
        <v>20133</v>
      </c>
      <c r="P18" s="1329">
        <v>117293</v>
      </c>
      <c r="Q18" s="1330">
        <f>SUM(B18:P18)</f>
        <v>998635</v>
      </c>
      <c r="R18" s="1329">
        <v>56569</v>
      </c>
      <c r="S18" s="1329">
        <f>Q18+R18</f>
        <v>1055204</v>
      </c>
      <c r="T18" s="1329">
        <v>89302</v>
      </c>
      <c r="U18" s="1329">
        <f>S18+T18</f>
        <v>1144506</v>
      </c>
      <c r="V18" s="1342" t="s">
        <v>792</v>
      </c>
    </row>
    <row r="19" spans="1:22" s="243" customFormat="1" ht="8.1" customHeight="1">
      <c r="A19" s="188"/>
      <c r="B19" s="1331">
        <f>(B18/S18)*100</f>
        <v>13.161341314096612</v>
      </c>
      <c r="C19" s="1331">
        <f>(C18/S18)*100</f>
        <v>3.0161940250416035</v>
      </c>
      <c r="D19" s="1331">
        <f>(D18/S18)*100</f>
        <v>1.5778939427826277</v>
      </c>
      <c r="E19" s="1331">
        <f>(E18/S18)*100</f>
        <v>15.914268710126194</v>
      </c>
      <c r="F19" s="1331">
        <f>(F18/S18)*100</f>
        <v>1.344668898146709</v>
      </c>
      <c r="G19" s="1331">
        <f>(G18/S18)*100</f>
        <v>6.473155901607651</v>
      </c>
      <c r="H19" s="1331">
        <f>(H18/S18)*100</f>
        <v>13.02079976952324</v>
      </c>
      <c r="I19" s="1331">
        <f>(I18/S18)*100</f>
        <v>0.92446579050117317</v>
      </c>
      <c r="J19" s="1331">
        <f>(J18/S18)*100</f>
        <v>10.68058877714641</v>
      </c>
      <c r="K19" s="1331">
        <f>(K18/S18)*100</f>
        <v>3.441609394960595</v>
      </c>
      <c r="L19" s="1331">
        <f>(L18/S18)*100</f>
        <v>6.5120109476461421</v>
      </c>
      <c r="M19" s="1331">
        <f>(M18/S18)*100</f>
        <v>3.17464679815467</v>
      </c>
      <c r="N19" s="1331">
        <f>(N18/S18)*100</f>
        <v>2.3737590077368926</v>
      </c>
      <c r="O19" s="1331">
        <f>(O18/S18)*100</f>
        <v>1.9079722972998585</v>
      </c>
      <c r="P19" s="1331">
        <f>(P18/S18)*100</f>
        <v>11.115670524372538</v>
      </c>
      <c r="Q19" s="1331">
        <f>(Q18/S18)*100</f>
        <v>94.639046099142917</v>
      </c>
      <c r="R19" s="1331">
        <f>(R18/S18)*100</f>
        <v>5.3609539008570861</v>
      </c>
      <c r="S19" s="1331">
        <f>(S18/S18)*100</f>
        <v>100</v>
      </c>
      <c r="T19" s="1332"/>
      <c r="U19" s="1332"/>
      <c r="V19" s="304"/>
    </row>
    <row r="20" spans="1:22" s="33" customFormat="1" ht="8.1" customHeight="1">
      <c r="A20" s="1333" t="s">
        <v>908</v>
      </c>
      <c r="B20" s="1329">
        <v>148758</v>
      </c>
      <c r="C20" s="1329">
        <v>36995</v>
      </c>
      <c r="D20" s="1329">
        <v>19461</v>
      </c>
      <c r="E20" s="1329">
        <v>197127</v>
      </c>
      <c r="F20" s="1329">
        <v>16381</v>
      </c>
      <c r="G20" s="1329">
        <v>82432</v>
      </c>
      <c r="H20" s="1329">
        <v>154579</v>
      </c>
      <c r="I20" s="1329">
        <v>11263</v>
      </c>
      <c r="J20" s="1329">
        <v>124281</v>
      </c>
      <c r="K20" s="1329">
        <v>42237</v>
      </c>
      <c r="L20" s="1329">
        <v>78820</v>
      </c>
      <c r="M20" s="1329">
        <v>37678</v>
      </c>
      <c r="N20" s="1329">
        <v>28429</v>
      </c>
      <c r="O20" s="1329">
        <v>23868</v>
      </c>
      <c r="P20" s="1329">
        <v>138952</v>
      </c>
      <c r="Q20" s="1330">
        <f>SUM(B20:P20)</f>
        <v>1141261</v>
      </c>
      <c r="R20" s="1329">
        <v>57662</v>
      </c>
      <c r="S20" s="1329">
        <f>Q20+R20</f>
        <v>1198923</v>
      </c>
      <c r="T20" s="1329">
        <v>96429</v>
      </c>
      <c r="U20" s="1329">
        <f>S20+T20</f>
        <v>1295352</v>
      </c>
      <c r="V20" s="1342" t="s">
        <v>908</v>
      </c>
    </row>
    <row r="21" spans="1:22" s="243" customFormat="1" ht="8.1" customHeight="1">
      <c r="A21" s="188"/>
      <c r="B21" s="1331">
        <f>(B20/S20)*100</f>
        <v>12.407635853178228</v>
      </c>
      <c r="C21" s="1331">
        <f>(C20/S20)*100</f>
        <v>3.0856860699144151</v>
      </c>
      <c r="D21" s="1331">
        <f>(D20/S20)*100</f>
        <v>1.623206828128245</v>
      </c>
      <c r="E21" s="1331">
        <f>(E20/S20)*100</f>
        <v>16.442006701014162</v>
      </c>
      <c r="F21" s="1331">
        <f>(F20/S20)*100</f>
        <v>1.3663095961959191</v>
      </c>
      <c r="G21" s="1331">
        <f>(G20/S20)*100</f>
        <v>6.8755040982615228</v>
      </c>
      <c r="H21" s="1331">
        <f>(H20/S20)*100</f>
        <v>12.893154939891888</v>
      </c>
      <c r="I21" s="1331">
        <f>(I20/S20)*100</f>
        <v>0.93942646858889178</v>
      </c>
      <c r="J21" s="1331">
        <f>(J20/S20)*100</f>
        <v>10.366053533045909</v>
      </c>
      <c r="K21" s="1331">
        <f>(K20/S20)*100</f>
        <v>3.5229118133524842</v>
      </c>
      <c r="L21" s="1331">
        <f>(L20/S20)*100</f>
        <v>6.5742337080863411</v>
      </c>
      <c r="M21" s="1331">
        <f>(M20/S20)*100</f>
        <v>3.1426538651773299</v>
      </c>
      <c r="N21" s="1331">
        <f>(N20/S20)*100</f>
        <v>2.3712114956506798</v>
      </c>
      <c r="O21" s="1331">
        <f>(O20/S20)*100</f>
        <v>1.9907867310911542</v>
      </c>
      <c r="P21" s="1331">
        <f>(P20/S20)*100</f>
        <v>11.589735120604075</v>
      </c>
      <c r="Q21" s="1331">
        <f>(Q20/S20)*100</f>
        <v>95.190516822181237</v>
      </c>
      <c r="R21" s="1331">
        <f>(R20/S20)*100</f>
        <v>4.809483177818759</v>
      </c>
      <c r="S21" s="1331">
        <f>(S20/S20)*100</f>
        <v>100</v>
      </c>
      <c r="T21" s="1332"/>
      <c r="U21" s="1332"/>
      <c r="V21" s="304"/>
    </row>
    <row r="22" spans="1:22" s="33" customFormat="1" ht="8.1" customHeight="1">
      <c r="A22" s="1336" t="s">
        <v>1108</v>
      </c>
      <c r="B22" s="1329">
        <v>163968</v>
      </c>
      <c r="C22" s="1329">
        <v>42308</v>
      </c>
      <c r="D22" s="1329">
        <v>21080</v>
      </c>
      <c r="E22" s="1329">
        <v>223221</v>
      </c>
      <c r="F22" s="1329">
        <v>18401</v>
      </c>
      <c r="G22" s="1329">
        <v>90834</v>
      </c>
      <c r="H22" s="1329">
        <v>172575</v>
      </c>
      <c r="I22" s="1329">
        <v>13035</v>
      </c>
      <c r="J22" s="1329">
        <v>134317</v>
      </c>
      <c r="K22" s="1329">
        <v>48563</v>
      </c>
      <c r="L22" s="1329">
        <v>91229</v>
      </c>
      <c r="M22" s="1329">
        <v>44728</v>
      </c>
      <c r="N22" s="1329">
        <v>32767</v>
      </c>
      <c r="O22" s="1329">
        <v>26924</v>
      </c>
      <c r="P22" s="1329">
        <v>156551</v>
      </c>
      <c r="Q22" s="1330">
        <f>SUM(B22:P22)</f>
        <v>1280501</v>
      </c>
      <c r="R22" s="1329">
        <v>63173</v>
      </c>
      <c r="S22" s="1329">
        <f>Q22+R22</f>
        <v>1343674</v>
      </c>
      <c r="T22" s="1329">
        <v>89549</v>
      </c>
      <c r="U22" s="1329">
        <f>S22+T22</f>
        <v>1433223</v>
      </c>
      <c r="V22" s="1342" t="s">
        <v>1108</v>
      </c>
    </row>
    <row r="23" spans="1:22" s="243" customFormat="1" ht="8.1" customHeight="1">
      <c r="A23" s="188"/>
      <c r="B23" s="1331">
        <f>(B22/S22)*100</f>
        <v>12.20295994415312</v>
      </c>
      <c r="C23" s="1331">
        <f>(C22/S22)*100</f>
        <v>3.1486804090873233</v>
      </c>
      <c r="D23" s="1331">
        <f>(D22/S22)*100</f>
        <v>1.5688329163174994</v>
      </c>
      <c r="E23" s="1331">
        <f>(E22/S22)*100</f>
        <v>16.612734934217674</v>
      </c>
      <c r="F23" s="1331">
        <f>(F22/S22)*100</f>
        <v>1.3694541979676618</v>
      </c>
      <c r="G23" s="1331">
        <f>(G22/S22)*100</f>
        <v>6.7601218747999887</v>
      </c>
      <c r="H23" s="1331">
        <f>(H22/S22)*100</f>
        <v>12.843517103106855</v>
      </c>
      <c r="I23" s="1331">
        <f>(I22/S22)*100</f>
        <v>0.9701013787570496</v>
      </c>
      <c r="J23" s="1331">
        <f>(J22/S22)*100</f>
        <v>9.9962490901811005</v>
      </c>
      <c r="K23" s="1331">
        <f>(K22/S22)*100</f>
        <v>3.6141951098257463</v>
      </c>
      <c r="L23" s="1331">
        <f>(L22/S22)*100</f>
        <v>6.7895188862774747</v>
      </c>
      <c r="M23" s="1331">
        <f>(M22/S22)*100</f>
        <v>3.3287836186455944</v>
      </c>
      <c r="N23" s="1331">
        <f>(N22/S22)*100</f>
        <v>2.4386123419817602</v>
      </c>
      <c r="O23" s="1331">
        <f>(O22/S22)*100</f>
        <v>2.0037598405565635</v>
      </c>
      <c r="P23" s="1331">
        <f>(P22/S22)*100</f>
        <v>11.650965933701181</v>
      </c>
      <c r="Q23" s="1331">
        <f>(Q22/S22)*100</f>
        <v>95.298487579576602</v>
      </c>
      <c r="R23" s="1331">
        <f>(R22/S22)*100</f>
        <v>4.7015124204234064</v>
      </c>
      <c r="S23" s="1331">
        <f>(S22/S22)*100</f>
        <v>100</v>
      </c>
      <c r="T23" s="1332"/>
      <c r="U23" s="1332"/>
      <c r="V23" s="304"/>
    </row>
    <row r="24" spans="1:22" s="243" customFormat="1" ht="8.1" customHeight="1">
      <c r="A24" s="1337" t="s">
        <v>1167</v>
      </c>
      <c r="B24" s="1329">
        <v>176500</v>
      </c>
      <c r="C24" s="1329">
        <v>47581</v>
      </c>
      <c r="D24" s="1329">
        <v>23876</v>
      </c>
      <c r="E24" s="1329">
        <v>254483</v>
      </c>
      <c r="F24" s="1329">
        <v>19868</v>
      </c>
      <c r="G24" s="1329">
        <v>108484</v>
      </c>
      <c r="H24" s="1329">
        <v>192585</v>
      </c>
      <c r="I24" s="1329">
        <v>14928</v>
      </c>
      <c r="J24" s="1329">
        <v>150025</v>
      </c>
      <c r="K24" s="1329">
        <v>55761</v>
      </c>
      <c r="L24" s="1329">
        <v>106061</v>
      </c>
      <c r="M24" s="1329">
        <v>50674</v>
      </c>
      <c r="N24" s="1329">
        <v>37624</v>
      </c>
      <c r="O24" s="1329">
        <v>30135</v>
      </c>
      <c r="P24" s="1329">
        <v>176402</v>
      </c>
      <c r="Q24" s="1330">
        <f>SUM(B24:P24)</f>
        <v>1444987</v>
      </c>
      <c r="R24" s="1329">
        <v>70815</v>
      </c>
      <c r="S24" s="1329">
        <f>Q24+R24</f>
        <v>1515802</v>
      </c>
      <c r="T24" s="1329">
        <v>98402</v>
      </c>
      <c r="U24" s="1329">
        <f>S24+T24</f>
        <v>1614204</v>
      </c>
      <c r="V24" s="1384" t="s">
        <v>1167</v>
      </c>
    </row>
    <row r="25" spans="1:22" s="188" customFormat="1" ht="8.1" customHeight="1">
      <c r="B25" s="1331">
        <f>(B24/S24)*100</f>
        <v>11.644000997491757</v>
      </c>
      <c r="C25" s="1331">
        <f>(C24/S24)*100</f>
        <v>3.1389983652218429</v>
      </c>
      <c r="D25" s="1331">
        <f>(D24/S24)*100</f>
        <v>1.5751397609978086</v>
      </c>
      <c r="E25" s="1331">
        <f>(E24/S24)*100</f>
        <v>16.788670288071923</v>
      </c>
      <c r="F25" s="1331">
        <f>(F24/S24)*100</f>
        <v>1.3107252794230382</v>
      </c>
      <c r="G25" s="1331">
        <f>(G24/S24)*100</f>
        <v>7.1568714119654153</v>
      </c>
      <c r="H25" s="1331">
        <f>(H24/S24)*100</f>
        <v>12.705155422673938</v>
      </c>
      <c r="I25" s="1331">
        <f>(I24/S24)*100</f>
        <v>0.9848251948473481</v>
      </c>
      <c r="J25" s="1331">
        <f>(J24/S24)*100</f>
        <v>9.8974008478679938</v>
      </c>
      <c r="K25" s="1331">
        <f>(K24/S24)*100</f>
        <v>3.6786466834058804</v>
      </c>
      <c r="L25" s="1331">
        <f>(L24/S24)*100</f>
        <v>6.9970220384984323</v>
      </c>
      <c r="M25" s="1331">
        <f>(M24/S24)*100</f>
        <v>3.3430487623053673</v>
      </c>
      <c r="N25" s="1331">
        <f>(N24/S24)*100</f>
        <v>2.4821183769384128</v>
      </c>
      <c r="O25" s="1331">
        <f>(O24/S24)*100</f>
        <v>1.9880564875887483</v>
      </c>
      <c r="P25" s="1331">
        <f>(P24/S24)*100</f>
        <v>11.637535773141874</v>
      </c>
      <c r="Q25" s="1331">
        <f>(Q24/S24)*100</f>
        <v>95.328215690439777</v>
      </c>
      <c r="R25" s="1331">
        <f>(R24/S24)*100</f>
        <v>4.6717843095602198</v>
      </c>
      <c r="S25" s="1331">
        <f>(S24/S24)*100</f>
        <v>100</v>
      </c>
      <c r="T25" s="1332"/>
      <c r="U25" s="1332"/>
      <c r="V25" s="304"/>
    </row>
    <row r="26" spans="1:22" s="68" customFormat="1" ht="8.1" customHeight="1">
      <c r="A26" s="1337" t="s">
        <v>1299</v>
      </c>
      <c r="B26" s="1329">
        <v>190315</v>
      </c>
      <c r="C26" s="1329">
        <v>53076</v>
      </c>
      <c r="D26" s="1329">
        <v>28578</v>
      </c>
      <c r="E26" s="1329">
        <v>295111</v>
      </c>
      <c r="F26" s="1329">
        <v>23829</v>
      </c>
      <c r="G26" s="1329">
        <v>126353</v>
      </c>
      <c r="H26" s="1329">
        <v>214257</v>
      </c>
      <c r="I26" s="1329">
        <v>17058</v>
      </c>
      <c r="J26" s="1329">
        <v>169165</v>
      </c>
      <c r="K26" s="1329">
        <v>63601</v>
      </c>
      <c r="L26" s="1329">
        <v>123740</v>
      </c>
      <c r="M26" s="1329">
        <v>66711</v>
      </c>
      <c r="N26" s="1329">
        <v>46512</v>
      </c>
      <c r="O26" s="1329">
        <v>34758</v>
      </c>
      <c r="P26" s="1329">
        <v>194248</v>
      </c>
      <c r="Q26" s="1330">
        <f>SUM(B26:P26)</f>
        <v>1647312</v>
      </c>
      <c r="R26" s="1329">
        <v>85552</v>
      </c>
      <c r="S26" s="1329">
        <f>Q26+R26</f>
        <v>1732864</v>
      </c>
      <c r="T26" s="1329">
        <v>99811</v>
      </c>
      <c r="U26" s="1329">
        <f>S26+T26</f>
        <v>1832675</v>
      </c>
      <c r="V26" s="1384" t="s">
        <v>1299</v>
      </c>
    </row>
    <row r="27" spans="1:22" s="188" customFormat="1" ht="8.1" customHeight="1">
      <c r="B27" s="1331">
        <f>(B26/S26)*100</f>
        <v>10.982685311715173</v>
      </c>
      <c r="C27" s="1331">
        <f>(C26/S26)*100</f>
        <v>3.0629062638499041</v>
      </c>
      <c r="D27" s="1331">
        <f>(D26/S26)*100</f>
        <v>1.6491773157039444</v>
      </c>
      <c r="E27" s="1331">
        <f>(E26/S26)*100</f>
        <v>17.030245881961886</v>
      </c>
      <c r="F27" s="1331">
        <f>(F26/S26)*100</f>
        <v>1.375122340818437</v>
      </c>
      <c r="G27" s="1331">
        <f>(G26/S26)*100</f>
        <v>7.2915704867779585</v>
      </c>
      <c r="H27" s="1331">
        <f>(H26/S26)*100</f>
        <v>12.364328648988034</v>
      </c>
      <c r="I27" s="1331">
        <f>(I26/S26)*100</f>
        <v>0.98438192495198706</v>
      </c>
      <c r="J27" s="1331">
        <f>(J26/S26)*100</f>
        <v>9.7621625240065004</v>
      </c>
      <c r="K27" s="1331">
        <f>(K26/S26)*100</f>
        <v>3.6702822610429906</v>
      </c>
      <c r="L27" s="1331">
        <f>(L26/S26)*100</f>
        <v>7.1407796572610422</v>
      </c>
      <c r="M27" s="1331">
        <f>(M26/S26)*100</f>
        <v>3.8497539333727286</v>
      </c>
      <c r="N27" s="1331">
        <f>(N26/S26)*100</f>
        <v>2.6841113901610281</v>
      </c>
      <c r="O27" s="1331">
        <f>(O26/S26)*100</f>
        <v>2.0058123430344215</v>
      </c>
      <c r="P27" s="1331">
        <f>(P26/S26)*100</f>
        <v>11.209650613089082</v>
      </c>
      <c r="Q27" s="1331">
        <f>(Q26/S26)*100</f>
        <v>95.062970896735109</v>
      </c>
      <c r="R27" s="1331">
        <f>(R26/S26)*100</f>
        <v>4.9370291032648836</v>
      </c>
      <c r="S27" s="1331">
        <f>(S26/S26)*100</f>
        <v>100</v>
      </c>
      <c r="T27" s="1332"/>
      <c r="U27" s="1332"/>
      <c r="V27" s="304"/>
    </row>
    <row r="28" spans="1:22" s="68" customFormat="1" ht="8.1" customHeight="1">
      <c r="A28" s="1333" t="s">
        <v>1332</v>
      </c>
      <c r="B28" s="1329">
        <v>205398</v>
      </c>
      <c r="C28" s="1329">
        <v>59627</v>
      </c>
      <c r="D28" s="1329">
        <v>34127</v>
      </c>
      <c r="E28" s="1329">
        <v>341829</v>
      </c>
      <c r="F28" s="1329">
        <v>26244</v>
      </c>
      <c r="G28" s="1329">
        <v>146107</v>
      </c>
      <c r="H28" s="1329">
        <v>243958</v>
      </c>
      <c r="I28" s="1329">
        <v>19318</v>
      </c>
      <c r="J28" s="1329">
        <v>187076</v>
      </c>
      <c r="K28" s="1329">
        <v>73205</v>
      </c>
      <c r="L28" s="1329">
        <v>144539</v>
      </c>
      <c r="M28" s="1329">
        <v>78441</v>
      </c>
      <c r="N28" s="1329">
        <v>56856</v>
      </c>
      <c r="O28" s="1329">
        <v>38987</v>
      </c>
      <c r="P28" s="1329">
        <v>214213</v>
      </c>
      <c r="Q28" s="1330">
        <f>SUM(B28:P28)</f>
        <v>1869925</v>
      </c>
      <c r="R28" s="1329">
        <v>105892</v>
      </c>
      <c r="S28" s="1329">
        <f>Q28+R28</f>
        <v>1975817</v>
      </c>
      <c r="T28" s="1329">
        <v>84901</v>
      </c>
      <c r="U28" s="1329">
        <f>S28+T28</f>
        <v>2060718</v>
      </c>
      <c r="V28" s="1342" t="s">
        <v>1332</v>
      </c>
    </row>
    <row r="29" spans="1:22" s="188" customFormat="1" ht="8.1" customHeight="1">
      <c r="B29" s="1331">
        <f>(B28/S28)*100</f>
        <v>10.395598377784987</v>
      </c>
      <c r="C29" s="1331">
        <f>(C28/S28)*100</f>
        <v>3.017840214959179</v>
      </c>
      <c r="D29" s="1331">
        <f>(D28/S28)*100</f>
        <v>1.7272348603134806</v>
      </c>
      <c r="E29" s="1331">
        <f>(E28/S28)*100</f>
        <v>17.300640696987628</v>
      </c>
      <c r="F29" s="1331">
        <f>(F28/S28)*100</f>
        <v>1.3282606638165377</v>
      </c>
      <c r="G29" s="1331">
        <f>(G28/S28)*100</f>
        <v>7.3947637863223159</v>
      </c>
      <c r="H29" s="1331">
        <f>(H28/S28)*100</f>
        <v>12.34719612190805</v>
      </c>
      <c r="I29" s="1331">
        <f>(I28/S28)*100</f>
        <v>0.97772212709982753</v>
      </c>
      <c r="J29" s="1331">
        <f>(J28/S28)*100</f>
        <v>9.4682857774783802</v>
      </c>
      <c r="K29" s="1331">
        <f>(K28/S28)*100</f>
        <v>3.7050496073269943</v>
      </c>
      <c r="L29" s="1331">
        <f>(L28/S28)*100</f>
        <v>7.315404210005279</v>
      </c>
      <c r="M29" s="1331">
        <f>(M28/S28)*100</f>
        <v>3.9700539068142442</v>
      </c>
      <c r="N29" s="1331">
        <f>(N28/S28)*100</f>
        <v>2.8775944330876797</v>
      </c>
      <c r="O29" s="1331">
        <f>(O28/S28)*100</f>
        <v>1.9732090573165428</v>
      </c>
      <c r="P29" s="1331">
        <f>(P28/S28)*100</f>
        <v>10.841742934694864</v>
      </c>
      <c r="Q29" s="1331">
        <f>(Q28/S28)*100</f>
        <v>94.640596775915981</v>
      </c>
      <c r="R29" s="1331">
        <f>(R28/S28)*100</f>
        <v>5.3594032240840122</v>
      </c>
      <c r="S29" s="1331">
        <f>(S28/S28)*100</f>
        <v>100</v>
      </c>
      <c r="T29" s="1332"/>
      <c r="U29" s="1332"/>
      <c r="V29" s="304"/>
    </row>
    <row r="30" spans="1:22" s="68" customFormat="1" ht="8.1" customHeight="1">
      <c r="A30" s="1333" t="s">
        <v>1471</v>
      </c>
      <c r="B30" s="1329">
        <v>227353</v>
      </c>
      <c r="C30" s="1329">
        <v>66882</v>
      </c>
      <c r="D30" s="1329">
        <v>38884</v>
      </c>
      <c r="E30" s="1329">
        <v>404144</v>
      </c>
      <c r="F30" s="1329">
        <v>29336</v>
      </c>
      <c r="G30" s="1329">
        <v>169855</v>
      </c>
      <c r="H30" s="1329">
        <v>279823</v>
      </c>
      <c r="I30" s="1329">
        <v>22123</v>
      </c>
      <c r="J30" s="1329">
        <v>204630</v>
      </c>
      <c r="K30" s="1329">
        <v>83728</v>
      </c>
      <c r="L30" s="1329">
        <v>166419</v>
      </c>
      <c r="M30" s="1335">
        <v>90228</v>
      </c>
      <c r="N30" s="1329">
        <v>64478</v>
      </c>
      <c r="O30" s="1329">
        <v>44064</v>
      </c>
      <c r="P30" s="1329">
        <v>236378</v>
      </c>
      <c r="Q30" s="1330">
        <f>SUM(B30:P30)</f>
        <v>2128325</v>
      </c>
      <c r="R30" s="1329">
        <v>122156</v>
      </c>
      <c r="S30" s="1329">
        <f>Q30+R30</f>
        <v>2250481</v>
      </c>
      <c r="T30" s="1329">
        <v>102628</v>
      </c>
      <c r="U30" s="1329">
        <f>S30+T30</f>
        <v>2353109</v>
      </c>
      <c r="V30" s="1342" t="s">
        <v>1471</v>
      </c>
    </row>
    <row r="31" spans="1:22" s="188" customFormat="1" ht="8.1" customHeight="1">
      <c r="B31" s="1331">
        <f>(B30/S30)*100</f>
        <v>10.102418105285048</v>
      </c>
      <c r="C31" s="1331">
        <f>(C30/S30)*100</f>
        <v>2.97189800758149</v>
      </c>
      <c r="D31" s="1331">
        <f>(D30/S30)*100</f>
        <v>1.7278084107353049</v>
      </c>
      <c r="E31" s="1331">
        <f>(E30/S30)*100</f>
        <v>17.958116509315118</v>
      </c>
      <c r="F31" s="1331">
        <f>(F30/S30)*100</f>
        <v>1.3035435535781019</v>
      </c>
      <c r="G31" s="1331">
        <f>(G30/S30)*100</f>
        <v>7.5474976238413038</v>
      </c>
      <c r="H31" s="1331">
        <f>(H30/S30)*100</f>
        <v>12.433919682059081</v>
      </c>
      <c r="I31" s="1331">
        <f>(I30/S30)*100</f>
        <v>0.98303429355768834</v>
      </c>
      <c r="J31" s="1331">
        <f>(J30/S30)*100</f>
        <v>9.0927228445830028</v>
      </c>
      <c r="K31" s="1331">
        <f>(K30/S30)*100</f>
        <v>3.7204490951045575</v>
      </c>
      <c r="L31" s="1331">
        <f>(L30/S30)*100</f>
        <v>7.3948191519946178</v>
      </c>
      <c r="M31" s="1331">
        <f>(M30/S30)*100</f>
        <v>4.0092762391684262</v>
      </c>
      <c r="N31" s="1331">
        <f>(N30/S30)*100</f>
        <v>2.8650763992230996</v>
      </c>
      <c r="O31" s="1331">
        <f>(O30/S30)*100</f>
        <v>1.9579814270815885</v>
      </c>
      <c r="P31" s="1331">
        <f>(P30/S30)*100</f>
        <v>10.503443486081419</v>
      </c>
      <c r="Q31" s="1331">
        <f>(Q30/S30)*100</f>
        <v>94.572004829189851</v>
      </c>
      <c r="R31" s="1331">
        <f>(R30/S30)*100</f>
        <v>5.427995170810151</v>
      </c>
      <c r="S31" s="1331">
        <f>(S30/S30)*100</f>
        <v>100</v>
      </c>
      <c r="T31" s="1332"/>
      <c r="U31" s="1332"/>
      <c r="V31" s="304"/>
    </row>
    <row r="32" spans="1:22" s="68" customFormat="1" ht="8.1" customHeight="1">
      <c r="A32" s="1333" t="s">
        <v>1600</v>
      </c>
      <c r="B32" s="1329">
        <v>248119</v>
      </c>
      <c r="C32" s="1329">
        <v>74275</v>
      </c>
      <c r="D32" s="1329">
        <v>43964</v>
      </c>
      <c r="E32" s="1329">
        <v>481359</v>
      </c>
      <c r="F32" s="1329">
        <v>32087</v>
      </c>
      <c r="G32" s="1329">
        <v>196403</v>
      </c>
      <c r="H32" s="1329">
        <v>322722</v>
      </c>
      <c r="I32" s="1329">
        <v>25234</v>
      </c>
      <c r="J32" s="1329">
        <v>226025</v>
      </c>
      <c r="K32" s="1329">
        <v>94202</v>
      </c>
      <c r="L32" s="1329">
        <v>190487</v>
      </c>
      <c r="M32" s="1329">
        <v>98957</v>
      </c>
      <c r="N32" s="1329">
        <v>73091</v>
      </c>
      <c r="O32" s="1329">
        <v>52006</v>
      </c>
      <c r="P32" s="1329">
        <v>260961</v>
      </c>
      <c r="Q32" s="1330">
        <f>SUM(B32:P32)</f>
        <v>2419892</v>
      </c>
      <c r="R32" s="1329">
        <v>122592</v>
      </c>
      <c r="S32" s="1329">
        <f>Q32+R32</f>
        <v>2542484</v>
      </c>
      <c r="T32" s="1329">
        <v>113610</v>
      </c>
      <c r="U32" s="1329">
        <f>S32+T32</f>
        <v>2656094</v>
      </c>
      <c r="V32" s="1342" t="s">
        <v>1600</v>
      </c>
    </row>
    <row r="33" spans="1:22" s="188" customFormat="1" ht="8.1" customHeight="1">
      <c r="B33" s="1331">
        <f>(B32/S32)*100</f>
        <v>9.7589208034347514</v>
      </c>
      <c r="C33" s="1331">
        <f>(C32/S32)*100</f>
        <v>2.921355650615697</v>
      </c>
      <c r="D33" s="1331">
        <f>(D32/S32)*100</f>
        <v>1.7291750901873915</v>
      </c>
      <c r="E33" s="1331">
        <f>(E32/S32)*100</f>
        <v>18.932626518003655</v>
      </c>
      <c r="F33" s="1331">
        <f>(F32/S32)*100</f>
        <v>1.2620335073888371</v>
      </c>
      <c r="G33" s="1331">
        <f>(G32/S32)*100</f>
        <v>7.724847039352067</v>
      </c>
      <c r="H33" s="1331">
        <f>(H32/S32)*100</f>
        <v>12.69317722353415</v>
      </c>
      <c r="I33" s="1331">
        <f>(I32/S32)*100</f>
        <v>0.9924939547308852</v>
      </c>
      <c r="J33" s="1331">
        <f>(J32/S32)*100</f>
        <v>8.8899281175417428</v>
      </c>
      <c r="K33" s="1331">
        <f>(K32/S32)*100</f>
        <v>3.7051167283648585</v>
      </c>
      <c r="L33" s="1331">
        <f>(L32/S32)*100</f>
        <v>7.4921612092740801</v>
      </c>
      <c r="M33" s="1331">
        <f>(M32/S32)*100</f>
        <v>3.892138554264255</v>
      </c>
      <c r="N33" s="1331">
        <f>(N32/S32)*100</f>
        <v>2.874787019308676</v>
      </c>
      <c r="O33" s="1331">
        <f>(O32/S32)*100</f>
        <v>2.045479932223762</v>
      </c>
      <c r="P33" s="1331">
        <f>(P32/S32)*100</f>
        <v>10.264017394013099</v>
      </c>
      <c r="Q33" s="1331">
        <f>(Q32/S32)*100</f>
        <v>95.178258742237915</v>
      </c>
      <c r="R33" s="1331">
        <f>(R32/S32)*100</f>
        <v>4.8217412577620937</v>
      </c>
      <c r="S33" s="1331">
        <f>(S32/S32)*100</f>
        <v>100</v>
      </c>
      <c r="T33" s="1332"/>
      <c r="U33" s="1332"/>
      <c r="V33" s="304"/>
    </row>
    <row r="34" spans="1:22" s="243" customFormat="1" ht="8.1" customHeight="1">
      <c r="A34" s="1328" t="s">
        <v>1695</v>
      </c>
      <c r="B34" s="1329">
        <v>270751</v>
      </c>
      <c r="C34" s="1329">
        <v>83091</v>
      </c>
      <c r="D34" s="1329">
        <v>46548</v>
      </c>
      <c r="E34" s="1329">
        <v>507100</v>
      </c>
      <c r="F34" s="1329">
        <v>33010</v>
      </c>
      <c r="G34" s="1329">
        <v>222537</v>
      </c>
      <c r="H34" s="1329">
        <v>349066</v>
      </c>
      <c r="I34" s="1329">
        <v>27262</v>
      </c>
      <c r="J34" s="1329">
        <v>241277</v>
      </c>
      <c r="K34" s="1329">
        <v>99809</v>
      </c>
      <c r="L34" s="1329">
        <v>212524</v>
      </c>
      <c r="M34" s="1329">
        <v>106897</v>
      </c>
      <c r="N34" s="1329">
        <v>81095</v>
      </c>
      <c r="O34" s="1329">
        <v>58777</v>
      </c>
      <c r="P34" s="1329">
        <v>286167</v>
      </c>
      <c r="Q34" s="1330">
        <f>SUM(B34:P34)</f>
        <v>2625911</v>
      </c>
      <c r="R34" s="1329">
        <v>113421</v>
      </c>
      <c r="S34" s="1329">
        <f>Q34+R34</f>
        <v>2739332</v>
      </c>
      <c r="T34" s="1329">
        <v>133898</v>
      </c>
      <c r="U34" s="1329">
        <f>S34+T34</f>
        <v>2873230</v>
      </c>
      <c r="V34" s="1342" t="s">
        <v>1695</v>
      </c>
    </row>
    <row r="35" spans="1:22" s="243" customFormat="1" ht="8.1" customHeight="1">
      <c r="A35" s="188"/>
      <c r="B35" s="1331">
        <f>(B34/S34)*100</f>
        <v>9.8838329928610325</v>
      </c>
      <c r="C35" s="1331">
        <f>(C34/S34)*100</f>
        <v>3.0332577431286167</v>
      </c>
      <c r="D35" s="1331">
        <f>(D34/S34)*100</f>
        <v>1.6992463856151792</v>
      </c>
      <c r="E35" s="1331">
        <f>(E34/S34)*100</f>
        <v>18.511812368854887</v>
      </c>
      <c r="F35" s="1331">
        <f>(F34/S34)*100</f>
        <v>1.2050383086095442</v>
      </c>
      <c r="G35" s="1331">
        <f>(G34/S34)*100</f>
        <v>8.123768860437508</v>
      </c>
      <c r="H35" s="1331">
        <f>(H34/S34)*100</f>
        <v>12.742741661105701</v>
      </c>
      <c r="I35" s="1331">
        <f>(I34/S34)*100</f>
        <v>0.99520613054569518</v>
      </c>
      <c r="J35" s="1331">
        <f>(J34/S34)*100</f>
        <v>8.8078772489059372</v>
      </c>
      <c r="K35" s="1331">
        <f>(K34/S34)*100</f>
        <v>3.6435525157228117</v>
      </c>
      <c r="L35" s="1331">
        <f>(L34/S34)*100</f>
        <v>7.758241790334286</v>
      </c>
      <c r="M35" s="1331">
        <f>(M34/S34)*100</f>
        <v>3.90230172903467</v>
      </c>
      <c r="N35" s="1331">
        <f>(N34/S34)*100</f>
        <v>2.9603932637591939</v>
      </c>
      <c r="O35" s="1331">
        <f>(O34/S34)*100</f>
        <v>2.1456690901285422</v>
      </c>
      <c r="P35" s="1331">
        <f>(P34/S34)*100</f>
        <v>10.446597929714251</v>
      </c>
      <c r="Q35" s="1331">
        <f>(Q34/S34)*100</f>
        <v>95.85953801875786</v>
      </c>
      <c r="R35" s="1331">
        <f>(R34/S34)*100</f>
        <v>4.1404619812421428</v>
      </c>
      <c r="S35" s="1331">
        <f>(S34/S34)*100</f>
        <v>100</v>
      </c>
      <c r="T35" s="1332"/>
      <c r="U35" s="1332"/>
      <c r="V35" s="304"/>
    </row>
    <row r="36" spans="1:22" s="33" customFormat="1" ht="9" customHeight="1">
      <c r="A36" s="1333" t="s">
        <v>2361</v>
      </c>
      <c r="B36" s="1329">
        <v>292221</v>
      </c>
      <c r="C36" s="1329">
        <v>92389</v>
      </c>
      <c r="D36" s="1329">
        <v>48718</v>
      </c>
      <c r="E36" s="1329">
        <v>559627</v>
      </c>
      <c r="F36" s="1329">
        <v>34921</v>
      </c>
      <c r="G36" s="1329">
        <v>251150</v>
      </c>
      <c r="H36" s="1329">
        <v>387606</v>
      </c>
      <c r="I36" s="1329">
        <v>30911</v>
      </c>
      <c r="J36" s="1329">
        <v>265227</v>
      </c>
      <c r="K36" s="1329">
        <v>107014</v>
      </c>
      <c r="L36" s="1329">
        <v>236065</v>
      </c>
      <c r="M36" s="1329">
        <v>117376</v>
      </c>
      <c r="N36" s="1329">
        <v>90419</v>
      </c>
      <c r="O36" s="1329">
        <v>66427</v>
      </c>
      <c r="P36" s="1329">
        <v>313313</v>
      </c>
      <c r="Q36" s="1330">
        <f>SUM(B36:P36)</f>
        <v>2893384</v>
      </c>
      <c r="R36" s="1329">
        <v>117681</v>
      </c>
      <c r="S36" s="1329">
        <f>Q36+R36</f>
        <v>3011065</v>
      </c>
      <c r="T36" s="1329">
        <v>186746</v>
      </c>
      <c r="U36" s="1329">
        <f>S36+T36</f>
        <v>3197811</v>
      </c>
      <c r="V36" s="1342" t="s">
        <v>2361</v>
      </c>
    </row>
    <row r="37" spans="1:22" s="243" customFormat="1" ht="8.1" customHeight="1">
      <c r="A37" s="188"/>
      <c r="B37" s="1331">
        <f>(B36/S36)*100</f>
        <v>9.7049050751146186</v>
      </c>
      <c r="C37" s="1331">
        <f>(C36/S36)*100</f>
        <v>3.0683163598261745</v>
      </c>
      <c r="D37" s="1331">
        <f>(D36/S36)*100</f>
        <v>1.6179657363756679</v>
      </c>
      <c r="E37" s="1331">
        <f>(E36/S36)*100</f>
        <v>18.585683138690133</v>
      </c>
      <c r="F37" s="1331">
        <f>(F36/S36)*100</f>
        <v>1.15975576747762</v>
      </c>
      <c r="G37" s="1331">
        <f>(G36/S36)*100</f>
        <v>8.3409026374389121</v>
      </c>
      <c r="H37" s="1331">
        <f>(H36/S36)*100</f>
        <v>12.872721113625909</v>
      </c>
      <c r="I37" s="1331">
        <f>(I36/S36)*100</f>
        <v>1.0265802963403314</v>
      </c>
      <c r="J37" s="1331">
        <f>(J36/S36)*100</f>
        <v>8.8084116417280924</v>
      </c>
      <c r="K37" s="1331">
        <f>(K36/S36)*100</f>
        <v>3.5540249048094283</v>
      </c>
      <c r="L37" s="1331">
        <f>(L36/S36)*100</f>
        <v>7.8399171057416561</v>
      </c>
      <c r="M37" s="1331">
        <f>(M36/S36)*100</f>
        <v>3.8981556359626914</v>
      </c>
      <c r="N37" s="1331">
        <f>(N36/S36)*100</f>
        <v>3.0028910036814218</v>
      </c>
      <c r="O37" s="1331">
        <f>(O36/S36)*100</f>
        <v>2.2060965140241078</v>
      </c>
      <c r="P37" s="1331">
        <f>(P36/S36)*100</f>
        <v>10.405388126792348</v>
      </c>
      <c r="Q37" s="1331">
        <f>(Q36/S36)*100</f>
        <v>96.091715057629116</v>
      </c>
      <c r="R37" s="1331">
        <f>(R36/S36)*100</f>
        <v>3.908284942370889</v>
      </c>
      <c r="S37" s="1331">
        <f>(S36/S36)*100</f>
        <v>100</v>
      </c>
      <c r="T37" s="1332"/>
      <c r="U37" s="1332"/>
      <c r="V37" s="304"/>
    </row>
    <row r="38" spans="1:22" s="33" customFormat="1" ht="8.1" customHeight="1">
      <c r="A38" s="1338" t="s">
        <v>2350</v>
      </c>
      <c r="B38" s="1339"/>
      <c r="C38" s="1340"/>
      <c r="D38" s="1340"/>
      <c r="E38" s="1340"/>
      <c r="F38" s="1340"/>
      <c r="G38" s="1340"/>
      <c r="H38" s="1340"/>
      <c r="I38" s="1340"/>
      <c r="J38" s="1340"/>
      <c r="K38" s="1340"/>
      <c r="L38" s="1340"/>
      <c r="M38" s="1340"/>
      <c r="N38" s="1340"/>
      <c r="O38" s="1340"/>
      <c r="P38" s="1340"/>
      <c r="Q38" s="1340"/>
      <c r="R38" s="1340"/>
      <c r="S38" s="1340"/>
      <c r="T38" s="1341"/>
      <c r="U38" s="1341"/>
      <c r="V38" s="1342"/>
    </row>
    <row r="39" spans="1:22" s="243" customFormat="1" ht="8.1" customHeight="1">
      <c r="A39" s="1295" t="s">
        <v>605</v>
      </c>
      <c r="B39" s="1343">
        <v>70171</v>
      </c>
      <c r="C39" s="1343">
        <v>16814</v>
      </c>
      <c r="D39" s="1343">
        <v>7009</v>
      </c>
      <c r="E39" s="1343">
        <v>73834</v>
      </c>
      <c r="F39" s="1343">
        <v>5553</v>
      </c>
      <c r="G39" s="1343">
        <v>29825</v>
      </c>
      <c r="H39" s="1343">
        <v>62352</v>
      </c>
      <c r="I39" s="1343">
        <v>3467</v>
      </c>
      <c r="J39" s="1343">
        <v>46497</v>
      </c>
      <c r="K39" s="1343">
        <v>14216</v>
      </c>
      <c r="L39" s="1343">
        <v>37935</v>
      </c>
      <c r="M39" s="1343">
        <v>14089</v>
      </c>
      <c r="N39" s="1343">
        <v>9962</v>
      </c>
      <c r="O39" s="1343">
        <v>9288</v>
      </c>
      <c r="P39" s="1343">
        <v>56600</v>
      </c>
      <c r="Q39" s="1344">
        <f>SUM(B39:P39)</f>
        <v>457612</v>
      </c>
      <c r="R39" s="1343">
        <v>24725</v>
      </c>
      <c r="S39" s="1343">
        <f>Q39+R39</f>
        <v>482337</v>
      </c>
      <c r="T39" s="1343">
        <v>27208</v>
      </c>
      <c r="U39" s="1343">
        <f>S39+T39</f>
        <v>509545</v>
      </c>
      <c r="V39" s="304" t="s">
        <v>605</v>
      </c>
    </row>
    <row r="40" spans="1:22" s="33" customFormat="1" ht="8.1" customHeight="1">
      <c r="A40" s="1333"/>
      <c r="B40" s="1340">
        <f>(B39/S39)*100</f>
        <v>14.548127139323752</v>
      </c>
      <c r="C40" s="1340">
        <f>(C39/S39)*100</f>
        <v>3.4859444745064136</v>
      </c>
      <c r="D40" s="1340">
        <f>(D39/S39)*100</f>
        <v>1.4531333901400889</v>
      </c>
      <c r="E40" s="1340">
        <f>(E39/S39)*100</f>
        <v>15.307554676502114</v>
      </c>
      <c r="F40" s="1340">
        <f>(F39/S39)*100</f>
        <v>1.151269755378501</v>
      </c>
      <c r="G40" s="1340">
        <f>(G39/S39)*100</f>
        <v>6.1834360623381581</v>
      </c>
      <c r="H40" s="1340">
        <f>(H39/S39)*100</f>
        <v>12.927061369955032</v>
      </c>
      <c r="I40" s="1340">
        <f>(I39/S39)*100</f>
        <v>0.71879204788353368</v>
      </c>
      <c r="J40" s="1340">
        <f>(J39/S39)*100</f>
        <v>9.6399405394983173</v>
      </c>
      <c r="K40" s="1340">
        <f>(K39/S39)*100</f>
        <v>2.9473169174249541</v>
      </c>
      <c r="L40" s="1340">
        <f>(L39/S39)*100</f>
        <v>7.8648330938741999</v>
      </c>
      <c r="M40" s="1340">
        <f>(M39/S39)*100</f>
        <v>2.9209867789533042</v>
      </c>
      <c r="N40" s="1340">
        <f>(N39/S39)*100</f>
        <v>2.0653609405871829</v>
      </c>
      <c r="O40" s="1340">
        <f>(O39/S39)*100</f>
        <v>1.9256246151549643</v>
      </c>
      <c r="P40" s="1340">
        <f>(P39/S39)*100</f>
        <v>11.734534153506781</v>
      </c>
      <c r="Q40" s="1340">
        <f>(Q39/S39)*100</f>
        <v>94.8739159550273</v>
      </c>
      <c r="R40" s="1340">
        <f>(R39/S39)*100</f>
        <v>5.1260840449727052</v>
      </c>
      <c r="S40" s="1340">
        <f>(S39/S39)*100</f>
        <v>100</v>
      </c>
      <c r="T40" s="1341"/>
      <c r="U40" s="1341"/>
      <c r="V40" s="1342"/>
    </row>
    <row r="41" spans="1:22" s="243" customFormat="1" ht="8.1" customHeight="1">
      <c r="A41" s="188" t="s">
        <v>614</v>
      </c>
      <c r="B41" s="1377">
        <v>74410</v>
      </c>
      <c r="C41" s="1343">
        <v>18397</v>
      </c>
      <c r="D41" s="1343">
        <v>7433</v>
      </c>
      <c r="E41" s="1343">
        <v>81612</v>
      </c>
      <c r="F41" s="1343">
        <v>5831</v>
      </c>
      <c r="G41" s="1343">
        <v>31836</v>
      </c>
      <c r="H41" s="1343">
        <v>67571</v>
      </c>
      <c r="I41" s="1343">
        <v>3659</v>
      </c>
      <c r="J41" s="1343">
        <v>50878</v>
      </c>
      <c r="K41" s="1343">
        <v>15139</v>
      </c>
      <c r="L41" s="1343">
        <v>39382</v>
      </c>
      <c r="M41" s="1343">
        <v>15293</v>
      </c>
      <c r="N41" s="1343">
        <v>10835</v>
      </c>
      <c r="O41" s="1343">
        <v>9749</v>
      </c>
      <c r="P41" s="1343">
        <v>58399</v>
      </c>
      <c r="Q41" s="878">
        <f>SUM(B41:P41)</f>
        <v>490424</v>
      </c>
      <c r="R41" s="1343">
        <v>25959</v>
      </c>
      <c r="S41" s="1035">
        <f>Q41+R41</f>
        <v>516383</v>
      </c>
      <c r="T41" s="1343">
        <v>33121</v>
      </c>
      <c r="U41" s="1035">
        <f>S41+T41</f>
        <v>549504</v>
      </c>
      <c r="V41" s="304" t="s">
        <v>614</v>
      </c>
    </row>
    <row r="42" spans="1:22" s="33" customFormat="1" ht="8.1" customHeight="1">
      <c r="A42" s="1333"/>
      <c r="B42" s="1340">
        <f t="shared" ref="B42:S42" si="0">(B41/$S41)*100</f>
        <v>14.409846954682862</v>
      </c>
      <c r="C42" s="1340">
        <f t="shared" si="0"/>
        <v>3.562665695811055</v>
      </c>
      <c r="D42" s="1340">
        <f t="shared" si="0"/>
        <v>1.4394354577900512</v>
      </c>
      <c r="E42" s="1340">
        <f t="shared" si="0"/>
        <v>15.804548174513878</v>
      </c>
      <c r="F42" s="1340">
        <f t="shared" si="0"/>
        <v>1.1292006127235017</v>
      </c>
      <c r="G42" s="1340">
        <f t="shared" si="0"/>
        <v>6.1651913405359977</v>
      </c>
      <c r="H42" s="1340">
        <f t="shared" si="0"/>
        <v>13.085442394501756</v>
      </c>
      <c r="I42" s="1340">
        <f t="shared" si="0"/>
        <v>0.70858258308271183</v>
      </c>
      <c r="J42" s="1340">
        <f t="shared" si="0"/>
        <v>9.8527643241547462</v>
      </c>
      <c r="K42" s="1340">
        <f t="shared" si="0"/>
        <v>2.9317386513498702</v>
      </c>
      <c r="L42" s="1340">
        <f t="shared" si="0"/>
        <v>7.6265097805311166</v>
      </c>
      <c r="M42" s="1340">
        <f t="shared" si="0"/>
        <v>2.9615614766558931</v>
      </c>
      <c r="N42" s="1340">
        <f t="shared" si="0"/>
        <v>2.0982487804594654</v>
      </c>
      <c r="O42" s="1340">
        <f t="shared" si="0"/>
        <v>1.8879397656390702</v>
      </c>
      <c r="P42" s="1340">
        <f t="shared" si="0"/>
        <v>11.309241396405382</v>
      </c>
      <c r="Q42" s="1340">
        <f t="shared" si="0"/>
        <v>94.972917388837345</v>
      </c>
      <c r="R42" s="1340">
        <f t="shared" si="0"/>
        <v>5.027082611162645</v>
      </c>
      <c r="S42" s="1340">
        <f t="shared" si="0"/>
        <v>100</v>
      </c>
      <c r="T42" s="1378"/>
      <c r="U42" s="1378"/>
      <c r="V42" s="1342"/>
    </row>
    <row r="43" spans="1:22" s="243" customFormat="1" ht="8.1" customHeight="1">
      <c r="A43" s="188" t="s">
        <v>362</v>
      </c>
      <c r="B43" s="1377">
        <v>77292</v>
      </c>
      <c r="C43" s="1343">
        <v>19685</v>
      </c>
      <c r="D43" s="1343">
        <v>8003</v>
      </c>
      <c r="E43" s="1343">
        <v>87596</v>
      </c>
      <c r="F43" s="1343">
        <v>6284</v>
      </c>
      <c r="G43" s="1343">
        <v>33742</v>
      </c>
      <c r="H43" s="1343">
        <v>72481</v>
      </c>
      <c r="I43" s="1343">
        <v>3866</v>
      </c>
      <c r="J43" s="1343">
        <v>55079</v>
      </c>
      <c r="K43" s="1343">
        <v>15733</v>
      </c>
      <c r="L43" s="1343">
        <v>40877</v>
      </c>
      <c r="M43" s="1343">
        <v>16289</v>
      </c>
      <c r="N43" s="1343">
        <v>11609</v>
      </c>
      <c r="O43" s="1343">
        <v>10321</v>
      </c>
      <c r="P43" s="1343">
        <v>60261</v>
      </c>
      <c r="Q43" s="878">
        <f>SUM(B43:P43)</f>
        <v>519118</v>
      </c>
      <c r="R43" s="1343">
        <v>28319</v>
      </c>
      <c r="S43" s="1035">
        <f>Q43+R43</f>
        <v>547437</v>
      </c>
      <c r="T43" s="1343">
        <v>42109</v>
      </c>
      <c r="U43" s="1035">
        <f>S43+T43</f>
        <v>589546</v>
      </c>
      <c r="V43" s="304" t="s">
        <v>362</v>
      </c>
    </row>
    <row r="44" spans="1:22" s="33" customFormat="1" ht="8.1" customHeight="1">
      <c r="A44" s="1333"/>
      <c r="B44" s="1340">
        <f t="shared" ref="B44:S44" si="1">(B43/$S43)*100</f>
        <v>14.118884912784486</v>
      </c>
      <c r="C44" s="1340">
        <f t="shared" si="1"/>
        <v>3.5958475587145191</v>
      </c>
      <c r="D44" s="1340">
        <f t="shared" si="1"/>
        <v>1.4619033788362861</v>
      </c>
      <c r="E44" s="1340">
        <f t="shared" si="1"/>
        <v>16.001110630081637</v>
      </c>
      <c r="F44" s="1340">
        <f t="shared" si="1"/>
        <v>1.1478946435845585</v>
      </c>
      <c r="G44" s="1340">
        <f t="shared" si="1"/>
        <v>6.1636316142314094</v>
      </c>
      <c r="H44" s="1340">
        <f t="shared" si="1"/>
        <v>13.240062326806553</v>
      </c>
      <c r="I44" s="1340">
        <f t="shared" si="1"/>
        <v>0.70619998282907448</v>
      </c>
      <c r="J44" s="1340">
        <f t="shared" si="1"/>
        <v>10.061249056969112</v>
      </c>
      <c r="K44" s="1340">
        <f t="shared" si="1"/>
        <v>2.8739380056517922</v>
      </c>
      <c r="L44" s="1340">
        <f t="shared" si="1"/>
        <v>7.4669779353605987</v>
      </c>
      <c r="M44" s="1340">
        <f t="shared" si="1"/>
        <v>2.9755022039065682</v>
      </c>
      <c r="N44" s="1340">
        <f t="shared" si="1"/>
        <v>2.12060931212176</v>
      </c>
      <c r="O44" s="1340">
        <f t="shared" si="1"/>
        <v>1.8853310974596162</v>
      </c>
      <c r="P44" s="1340">
        <f t="shared" si="1"/>
        <v>11.007841998257334</v>
      </c>
      <c r="Q44" s="1340">
        <f t="shared" si="1"/>
        <v>94.826984657595304</v>
      </c>
      <c r="R44" s="1340">
        <f t="shared" si="1"/>
        <v>5.1730153424046961</v>
      </c>
      <c r="S44" s="1340">
        <f t="shared" si="1"/>
        <v>100</v>
      </c>
      <c r="T44" s="1378"/>
      <c r="U44" s="1378"/>
      <c r="V44" s="1342"/>
    </row>
    <row r="45" spans="1:22" s="243" customFormat="1" ht="8.1" customHeight="1">
      <c r="A45" s="188" t="s">
        <v>85</v>
      </c>
      <c r="B45" s="1377">
        <v>79682</v>
      </c>
      <c r="C45" s="1343">
        <v>20657</v>
      </c>
      <c r="D45" s="1343">
        <v>8841</v>
      </c>
      <c r="E45" s="1343">
        <v>93459</v>
      </c>
      <c r="F45" s="1343">
        <v>6740</v>
      </c>
      <c r="G45" s="1343">
        <v>35962</v>
      </c>
      <c r="H45" s="1343">
        <v>76728</v>
      </c>
      <c r="I45" s="1343">
        <v>4093</v>
      </c>
      <c r="J45" s="1343">
        <v>59513</v>
      </c>
      <c r="K45" s="1343">
        <v>15728</v>
      </c>
      <c r="L45" s="1343">
        <v>42442</v>
      </c>
      <c r="M45" s="1343">
        <v>17447</v>
      </c>
      <c r="N45" s="1343">
        <v>12293</v>
      </c>
      <c r="O45" s="1343">
        <v>10634</v>
      </c>
      <c r="P45" s="1343">
        <v>62191</v>
      </c>
      <c r="Q45" s="878">
        <f>SUM(B45:P45)</f>
        <v>546410</v>
      </c>
      <c r="R45" s="1343">
        <v>28646</v>
      </c>
      <c r="S45" s="1035">
        <f>Q45+R45</f>
        <v>575056</v>
      </c>
      <c r="T45" s="1343">
        <v>45558</v>
      </c>
      <c r="U45" s="1035">
        <f>S45+T45</f>
        <v>620614</v>
      </c>
      <c r="V45" s="304" t="s">
        <v>85</v>
      </c>
    </row>
    <row r="46" spans="1:22" s="33" customFormat="1" ht="8.1" customHeight="1">
      <c r="A46" s="1333"/>
      <c r="B46" s="1340">
        <f t="shared" ref="B46:S46" si="2">(B45/$S45)*100</f>
        <v>13.856389638574329</v>
      </c>
      <c r="C46" s="1340">
        <f t="shared" si="2"/>
        <v>3.5921718928243509</v>
      </c>
      <c r="D46" s="1340">
        <f t="shared" si="2"/>
        <v>1.5374154864917504</v>
      </c>
      <c r="E46" s="1340">
        <f t="shared" si="2"/>
        <v>16.252156311733117</v>
      </c>
      <c r="F46" s="1340">
        <f t="shared" si="2"/>
        <v>1.1720597646142288</v>
      </c>
      <c r="G46" s="1340">
        <f t="shared" si="2"/>
        <v>6.2536518182576994</v>
      </c>
      <c r="H46" s="1340">
        <f t="shared" si="2"/>
        <v>13.342700536991181</v>
      </c>
      <c r="I46" s="1340">
        <f t="shared" si="2"/>
        <v>0.71175676803650434</v>
      </c>
      <c r="J46" s="1340">
        <f t="shared" si="2"/>
        <v>10.34907904621463</v>
      </c>
      <c r="K46" s="1340">
        <f t="shared" si="2"/>
        <v>2.73503797890988</v>
      </c>
      <c r="L46" s="1340">
        <f t="shared" si="2"/>
        <v>7.3804985949194517</v>
      </c>
      <c r="M46" s="1340">
        <f t="shared" si="2"/>
        <v>3.0339653877187613</v>
      </c>
      <c r="N46" s="1340">
        <f t="shared" si="2"/>
        <v>2.1377048496146465</v>
      </c>
      <c r="O46" s="1340">
        <f t="shared" si="2"/>
        <v>1.8492112072563367</v>
      </c>
      <c r="P46" s="1340">
        <f t="shared" si="2"/>
        <v>10.81477282212515</v>
      </c>
      <c r="Q46" s="1340">
        <f t="shared" si="2"/>
        <v>95.018572104282015</v>
      </c>
      <c r="R46" s="1340">
        <f t="shared" si="2"/>
        <v>4.9814278957179825</v>
      </c>
      <c r="S46" s="1340">
        <f t="shared" si="2"/>
        <v>100</v>
      </c>
      <c r="T46" s="1378"/>
      <c r="U46" s="1378"/>
      <c r="V46" s="1342"/>
    </row>
    <row r="47" spans="1:22" s="243" customFormat="1" ht="8.1" customHeight="1">
      <c r="A47" s="601" t="s">
        <v>81</v>
      </c>
      <c r="B47" s="1377">
        <v>84904</v>
      </c>
      <c r="C47" s="1343">
        <v>21607</v>
      </c>
      <c r="D47" s="1343">
        <v>9561</v>
      </c>
      <c r="E47" s="1343">
        <v>99671</v>
      </c>
      <c r="F47" s="1343">
        <v>7412</v>
      </c>
      <c r="G47" s="1343">
        <v>38554</v>
      </c>
      <c r="H47" s="1343">
        <v>81219</v>
      </c>
      <c r="I47" s="1343">
        <v>4339</v>
      </c>
      <c r="J47" s="1343">
        <v>64006</v>
      </c>
      <c r="K47" s="1343">
        <v>16711</v>
      </c>
      <c r="L47" s="1343">
        <v>44078</v>
      </c>
      <c r="M47" s="1343">
        <v>18882</v>
      </c>
      <c r="N47" s="1343">
        <v>12930</v>
      </c>
      <c r="O47" s="1343">
        <v>11360</v>
      </c>
      <c r="P47" s="1343">
        <v>64191</v>
      </c>
      <c r="Q47" s="878">
        <f>SUM(B47:P47)</f>
        <v>579425</v>
      </c>
      <c r="R47" s="1343">
        <v>27672</v>
      </c>
      <c r="S47" s="1035">
        <f>Q47+R47</f>
        <v>607097</v>
      </c>
      <c r="T47" s="1343">
        <v>49143</v>
      </c>
      <c r="U47" s="1035">
        <f>S47+T47</f>
        <v>656240</v>
      </c>
      <c r="V47" s="1385" t="s">
        <v>81</v>
      </c>
    </row>
    <row r="48" spans="1:22" s="33" customFormat="1" ht="8.1" customHeight="1">
      <c r="A48" s="1333"/>
      <c r="B48" s="1340">
        <f t="shared" ref="B48:S48" si="3">(B47/$S47)*100</f>
        <v>13.98524453258705</v>
      </c>
      <c r="C48" s="1340">
        <f t="shared" si="3"/>
        <v>3.5590688143739801</v>
      </c>
      <c r="D48" s="1340">
        <f t="shared" si="3"/>
        <v>1.5748718903239516</v>
      </c>
      <c r="E48" s="1340">
        <f t="shared" si="3"/>
        <v>16.417640014692875</v>
      </c>
      <c r="F48" s="1340">
        <f t="shared" si="3"/>
        <v>1.2208922132706963</v>
      </c>
      <c r="G48" s="1340">
        <f t="shared" si="3"/>
        <v>6.3505502415594215</v>
      </c>
      <c r="H48" s="1340">
        <f t="shared" si="3"/>
        <v>13.378257510743751</v>
      </c>
      <c r="I48" s="1340">
        <f t="shared" si="3"/>
        <v>0.71471280536718185</v>
      </c>
      <c r="J48" s="1340">
        <f t="shared" si="3"/>
        <v>10.54296100952566</v>
      </c>
      <c r="K48" s="1340">
        <f t="shared" si="3"/>
        <v>2.7526079028557215</v>
      </c>
      <c r="L48" s="1340">
        <f t="shared" si="3"/>
        <v>7.2604542601923576</v>
      </c>
      <c r="M48" s="1340">
        <f t="shared" si="3"/>
        <v>3.1102113830244589</v>
      </c>
      <c r="N48" s="1340">
        <f t="shared" si="3"/>
        <v>2.1298079219630472</v>
      </c>
      <c r="O48" s="1340">
        <f t="shared" si="3"/>
        <v>1.8712001541763508</v>
      </c>
      <c r="P48" s="1340">
        <f t="shared" si="3"/>
        <v>10.573433899360399</v>
      </c>
      <c r="Q48" s="1340">
        <f t="shared" si="3"/>
        <v>95.441914554016904</v>
      </c>
      <c r="R48" s="1340">
        <f t="shared" si="3"/>
        <v>4.5580854459830968</v>
      </c>
      <c r="S48" s="1340">
        <f t="shared" si="3"/>
        <v>100</v>
      </c>
      <c r="T48" s="1378"/>
      <c r="U48" s="1378"/>
      <c r="V48" s="1342"/>
    </row>
    <row r="49" spans="1:27" s="243" customFormat="1" ht="8.1" customHeight="1">
      <c r="A49" s="188" t="s">
        <v>199</v>
      </c>
      <c r="B49" s="1343">
        <v>88206</v>
      </c>
      <c r="C49" s="1343">
        <v>23051</v>
      </c>
      <c r="D49" s="1343">
        <v>9907</v>
      </c>
      <c r="E49" s="1343">
        <v>109651</v>
      </c>
      <c r="F49" s="1343">
        <v>8402</v>
      </c>
      <c r="G49" s="1343">
        <v>41235</v>
      </c>
      <c r="H49" s="1343">
        <v>86650</v>
      </c>
      <c r="I49" s="1343">
        <v>4608</v>
      </c>
      <c r="J49" s="1343">
        <v>69409</v>
      </c>
      <c r="K49" s="1343">
        <v>18456</v>
      </c>
      <c r="L49" s="1343">
        <v>45790</v>
      </c>
      <c r="M49" s="1343">
        <v>20552</v>
      </c>
      <c r="N49" s="1343">
        <v>13659</v>
      </c>
      <c r="O49" s="1343">
        <v>12080</v>
      </c>
      <c r="P49" s="1343">
        <v>66265</v>
      </c>
      <c r="Q49" s="878">
        <f>SUM(B49:P49)</f>
        <v>617921</v>
      </c>
      <c r="R49" s="1343">
        <v>28421</v>
      </c>
      <c r="S49" s="1035">
        <f>Q49+R49</f>
        <v>646342</v>
      </c>
      <c r="T49" s="1343">
        <v>51126</v>
      </c>
      <c r="U49" s="1035">
        <f>S49+T49</f>
        <v>697468</v>
      </c>
      <c r="V49" s="304" t="s">
        <v>199</v>
      </c>
    </row>
    <row r="50" spans="1:27" s="33" customFormat="1" ht="8.1" customHeight="1">
      <c r="A50" s="1333"/>
      <c r="B50" s="1340">
        <f t="shared" ref="B50:S50" si="4">(B49/$S49)*100</f>
        <v>13.646954708188543</v>
      </c>
      <c r="C50" s="1340">
        <f t="shared" si="4"/>
        <v>3.5663781713086879</v>
      </c>
      <c r="D50" s="1340">
        <f t="shared" si="4"/>
        <v>1.5327798595789845</v>
      </c>
      <c r="E50" s="1340">
        <f t="shared" si="4"/>
        <v>16.964857614080472</v>
      </c>
      <c r="F50" s="1340">
        <f t="shared" si="4"/>
        <v>1.2999309962837011</v>
      </c>
      <c r="G50" s="1340">
        <f t="shared" si="4"/>
        <v>6.3797494205853873</v>
      </c>
      <c r="H50" s="1340">
        <f t="shared" si="4"/>
        <v>13.406215285406178</v>
      </c>
      <c r="I50" s="1340">
        <f t="shared" si="4"/>
        <v>0.71293525718582429</v>
      </c>
      <c r="J50" s="1340">
        <f t="shared" si="4"/>
        <v>10.738742028214165</v>
      </c>
      <c r="K50" s="1340">
        <f t="shared" si="4"/>
        <v>2.8554542332078063</v>
      </c>
      <c r="L50" s="1340">
        <f t="shared" si="4"/>
        <v>7.0844846845787526</v>
      </c>
      <c r="M50" s="1340">
        <f t="shared" si="4"/>
        <v>3.1797407564416362</v>
      </c>
      <c r="N50" s="1340">
        <f t="shared" si="4"/>
        <v>2.11327749086397</v>
      </c>
      <c r="O50" s="1340">
        <f t="shared" si="4"/>
        <v>1.8689795804697822</v>
      </c>
      <c r="P50" s="1340">
        <f t="shared" si="4"/>
        <v>10.25231224336342</v>
      </c>
      <c r="Q50" s="1340">
        <f t="shared" si="4"/>
        <v>95.602792329757307</v>
      </c>
      <c r="R50" s="1340">
        <f t="shared" si="4"/>
        <v>4.3972076702426888</v>
      </c>
      <c r="S50" s="1340">
        <f t="shared" si="4"/>
        <v>100</v>
      </c>
      <c r="T50" s="1378"/>
      <c r="U50" s="1378"/>
      <c r="V50" s="1342"/>
    </row>
    <row r="51" spans="1:27" s="243" customFormat="1" ht="8.1" customHeight="1">
      <c r="A51" s="188" t="s">
        <v>792</v>
      </c>
      <c r="B51" s="1343">
        <v>90332</v>
      </c>
      <c r="C51" s="1343">
        <v>24279</v>
      </c>
      <c r="D51" s="1343">
        <v>10593</v>
      </c>
      <c r="E51" s="1343">
        <v>120567</v>
      </c>
      <c r="F51" s="1343">
        <v>9291</v>
      </c>
      <c r="G51" s="1343">
        <v>44709</v>
      </c>
      <c r="H51" s="1343">
        <v>92457</v>
      </c>
      <c r="I51" s="1343">
        <v>4902</v>
      </c>
      <c r="J51" s="1343">
        <v>75761</v>
      </c>
      <c r="K51" s="1343">
        <v>21180</v>
      </c>
      <c r="L51" s="1343">
        <v>47587</v>
      </c>
      <c r="M51" s="1343">
        <v>22099</v>
      </c>
      <c r="N51" s="1343">
        <v>14718</v>
      </c>
      <c r="O51" s="1343">
        <v>12540</v>
      </c>
      <c r="P51" s="1343">
        <v>68416</v>
      </c>
      <c r="Q51" s="878">
        <f>SUM(B51:P51)</f>
        <v>659431</v>
      </c>
      <c r="R51" s="1343">
        <v>29062</v>
      </c>
      <c r="S51" s="1035">
        <f>Q51+R51</f>
        <v>688493</v>
      </c>
      <c r="T51" s="1343">
        <v>58267</v>
      </c>
      <c r="U51" s="1035">
        <f>S51+T51</f>
        <v>746760</v>
      </c>
      <c r="V51" s="304" t="s">
        <v>792</v>
      </c>
    </row>
    <row r="52" spans="1:27" s="33" customFormat="1" ht="8.1" customHeight="1">
      <c r="A52" s="1333"/>
      <c r="B52" s="1340">
        <f t="shared" ref="B52:S52" si="5">(B51/$S51)*100</f>
        <v>13.120249588594218</v>
      </c>
      <c r="C52" s="1340">
        <f t="shared" si="5"/>
        <v>3.5263975087618902</v>
      </c>
      <c r="D52" s="1340">
        <f t="shared" si="5"/>
        <v>1.5385777342689033</v>
      </c>
      <c r="E52" s="1340">
        <f t="shared" si="5"/>
        <v>17.511724883186901</v>
      </c>
      <c r="F52" s="1340">
        <f t="shared" si="5"/>
        <v>1.3494690577827226</v>
      </c>
      <c r="G52" s="1340">
        <f t="shared" si="5"/>
        <v>6.4937479393399791</v>
      </c>
      <c r="H52" s="1340">
        <f t="shared" si="5"/>
        <v>13.428894701906918</v>
      </c>
      <c r="I52" s="1340">
        <f t="shared" si="5"/>
        <v>0.71198980962769409</v>
      </c>
      <c r="J52" s="1340">
        <f t="shared" si="5"/>
        <v>11.003888202203944</v>
      </c>
      <c r="K52" s="1340">
        <f t="shared" si="5"/>
        <v>3.0762839999825706</v>
      </c>
      <c r="L52" s="1340">
        <f t="shared" si="5"/>
        <v>6.9117623563347772</v>
      </c>
      <c r="M52" s="1340">
        <f t="shared" si="5"/>
        <v>3.2097639336928627</v>
      </c>
      <c r="N52" s="1340">
        <f t="shared" si="5"/>
        <v>2.1377123659935542</v>
      </c>
      <c r="O52" s="1340">
        <f t="shared" si="5"/>
        <v>1.8213692804429384</v>
      </c>
      <c r="P52" s="1340">
        <f t="shared" si="5"/>
        <v>9.9370654458360512</v>
      </c>
      <c r="Q52" s="1340">
        <f t="shared" si="5"/>
        <v>95.778896807955931</v>
      </c>
      <c r="R52" s="1340">
        <f t="shared" si="5"/>
        <v>4.2211031920440734</v>
      </c>
      <c r="S52" s="1340">
        <f t="shared" si="5"/>
        <v>100</v>
      </c>
      <c r="T52" s="1378"/>
      <c r="U52" s="1378"/>
      <c r="V52" s="1342"/>
    </row>
    <row r="53" spans="1:27" s="243" customFormat="1" ht="8.1" customHeight="1">
      <c r="A53" s="188" t="s">
        <v>908</v>
      </c>
      <c r="B53" s="1343">
        <v>91656</v>
      </c>
      <c r="C53" s="1343">
        <v>25779</v>
      </c>
      <c r="D53" s="1343">
        <v>11584</v>
      </c>
      <c r="E53" s="1343">
        <v>132994</v>
      </c>
      <c r="F53" s="1343">
        <v>10126</v>
      </c>
      <c r="G53" s="1343">
        <v>48305</v>
      </c>
      <c r="H53" s="1343">
        <v>98173</v>
      </c>
      <c r="I53" s="1343">
        <v>5220</v>
      </c>
      <c r="J53" s="1343">
        <v>80514</v>
      </c>
      <c r="K53" s="1343">
        <v>23110</v>
      </c>
      <c r="L53" s="1343">
        <v>49509</v>
      </c>
      <c r="M53" s="1343">
        <v>23542</v>
      </c>
      <c r="N53" s="1343">
        <v>15645</v>
      </c>
      <c r="O53" s="1343">
        <v>13137</v>
      </c>
      <c r="P53" s="1343">
        <v>70642</v>
      </c>
      <c r="Q53" s="878">
        <f>SUM(B53:P53)</f>
        <v>699936</v>
      </c>
      <c r="R53" s="1343">
        <v>29960</v>
      </c>
      <c r="S53" s="1035">
        <f>Q53+R53</f>
        <v>729896</v>
      </c>
      <c r="T53" s="1343">
        <v>58705</v>
      </c>
      <c r="U53" s="1035">
        <f>S53+T53</f>
        <v>788601</v>
      </c>
      <c r="V53" s="304" t="s">
        <v>908</v>
      </c>
    </row>
    <row r="54" spans="1:27" s="33" customFormat="1" ht="8.1" customHeight="1">
      <c r="A54" s="1333"/>
      <c r="B54" s="1340">
        <f t="shared" ref="B54:S54" si="6">(B53/$S53)*100</f>
        <v>12.55740543858303</v>
      </c>
      <c r="C54" s="1340">
        <f t="shared" si="6"/>
        <v>3.531873033966483</v>
      </c>
      <c r="D54" s="1340">
        <f t="shared" si="6"/>
        <v>1.5870754189637977</v>
      </c>
      <c r="E54" s="1340">
        <f t="shared" si="6"/>
        <v>18.220952026042067</v>
      </c>
      <c r="F54" s="1340">
        <f t="shared" si="6"/>
        <v>1.3873209333932506</v>
      </c>
      <c r="G54" s="1340">
        <f t="shared" si="6"/>
        <v>6.6180661354494337</v>
      </c>
      <c r="H54" s="1340">
        <f t="shared" si="6"/>
        <v>13.450272367570173</v>
      </c>
      <c r="I54" s="1340">
        <f t="shared" si="6"/>
        <v>0.71517038043776104</v>
      </c>
      <c r="J54" s="1340">
        <f t="shared" si="6"/>
        <v>11.03088659206243</v>
      </c>
      <c r="K54" s="1340">
        <f t="shared" si="6"/>
        <v>3.1662045003671757</v>
      </c>
      <c r="L54" s="1340">
        <f t="shared" si="6"/>
        <v>6.7830211427381437</v>
      </c>
      <c r="M54" s="1340">
        <f t="shared" si="6"/>
        <v>3.2253910146103006</v>
      </c>
      <c r="N54" s="1340">
        <f t="shared" si="6"/>
        <v>2.1434560540131744</v>
      </c>
      <c r="O54" s="1340">
        <f t="shared" si="6"/>
        <v>1.7998454574350318</v>
      </c>
      <c r="P54" s="1340">
        <f t="shared" si="6"/>
        <v>9.6783651369510171</v>
      </c>
      <c r="Q54" s="1340">
        <f t="shared" si="6"/>
        <v>95.895305632583273</v>
      </c>
      <c r="R54" s="1340">
        <f t="shared" si="6"/>
        <v>4.1046943674167284</v>
      </c>
      <c r="S54" s="1340">
        <f t="shared" si="6"/>
        <v>100</v>
      </c>
      <c r="T54" s="1378"/>
      <c r="U54" s="1378"/>
      <c r="V54" s="1342"/>
    </row>
    <row r="55" spans="1:27" s="243" customFormat="1" ht="8.1" customHeight="1">
      <c r="A55" s="287" t="s">
        <v>1108</v>
      </c>
      <c r="B55" s="1343">
        <v>95151</v>
      </c>
      <c r="C55" s="1343">
        <v>27419</v>
      </c>
      <c r="D55" s="1343">
        <v>12127</v>
      </c>
      <c r="E55" s="1343">
        <v>144653</v>
      </c>
      <c r="F55" s="1343">
        <v>10585</v>
      </c>
      <c r="G55" s="1343">
        <v>52209</v>
      </c>
      <c r="H55" s="1343">
        <v>104776</v>
      </c>
      <c r="I55" s="1343">
        <v>5570</v>
      </c>
      <c r="J55" s="1343">
        <v>85382</v>
      </c>
      <c r="K55" s="1343">
        <v>24790</v>
      </c>
      <c r="L55" s="1343">
        <v>51615</v>
      </c>
      <c r="M55" s="1343">
        <v>25165</v>
      </c>
      <c r="N55" s="1343">
        <v>16781</v>
      </c>
      <c r="O55" s="1343">
        <v>13802</v>
      </c>
      <c r="P55" s="1343">
        <v>72955</v>
      </c>
      <c r="Q55" s="878">
        <f>SUM(B55:P55)</f>
        <v>742980</v>
      </c>
      <c r="R55" s="1343">
        <v>31156</v>
      </c>
      <c r="S55" s="1035">
        <f>Q55+R55</f>
        <v>774136</v>
      </c>
      <c r="T55" s="1343">
        <v>51592</v>
      </c>
      <c r="U55" s="1035">
        <f>S55+T55</f>
        <v>825728</v>
      </c>
      <c r="V55" s="304" t="s">
        <v>1108</v>
      </c>
    </row>
    <row r="56" spans="1:27" s="33" customFormat="1" ht="8.1" customHeight="1">
      <c r="A56" s="1333"/>
      <c r="B56" s="1340">
        <f t="shared" ref="B56:S56" si="7">(B55/$S55)*100</f>
        <v>12.291251149668792</v>
      </c>
      <c r="C56" s="1340">
        <f t="shared" si="7"/>
        <v>3.5418841133857617</v>
      </c>
      <c r="D56" s="1340">
        <f t="shared" si="7"/>
        <v>1.5665206113654448</v>
      </c>
      <c r="E56" s="1340">
        <f t="shared" si="7"/>
        <v>18.685734806287268</v>
      </c>
      <c r="F56" s="1340">
        <f t="shared" si="7"/>
        <v>1.3673308049231658</v>
      </c>
      <c r="G56" s="1340">
        <f t="shared" si="7"/>
        <v>6.7441638161770028</v>
      </c>
      <c r="H56" s="1340">
        <f t="shared" si="7"/>
        <v>13.53457273657342</v>
      </c>
      <c r="I56" s="1340">
        <f t="shared" si="7"/>
        <v>0.71951181704506706</v>
      </c>
      <c r="J56" s="1340">
        <f t="shared" si="7"/>
        <v>11.029328180061384</v>
      </c>
      <c r="K56" s="1340">
        <f t="shared" si="7"/>
        <v>3.2022797027912406</v>
      </c>
      <c r="L56" s="1340">
        <f t="shared" si="7"/>
        <v>6.6674331125280322</v>
      </c>
      <c r="M56" s="1340">
        <f t="shared" si="7"/>
        <v>3.2507208035797328</v>
      </c>
      <c r="N56" s="1340">
        <f t="shared" si="7"/>
        <v>2.1677069662178221</v>
      </c>
      <c r="O56" s="1340">
        <f t="shared" si="7"/>
        <v>1.7828908615540422</v>
      </c>
      <c r="P56" s="1340">
        <f t="shared" si="7"/>
        <v>9.4240546880651461</v>
      </c>
      <c r="Q56" s="1340">
        <f t="shared" si="7"/>
        <v>95.975384170223322</v>
      </c>
      <c r="R56" s="1340">
        <f t="shared" si="7"/>
        <v>4.0246158297766801</v>
      </c>
      <c r="S56" s="1340">
        <f t="shared" si="7"/>
        <v>100</v>
      </c>
      <c r="T56" s="1378"/>
      <c r="U56" s="1378"/>
      <c r="V56" s="1342"/>
    </row>
    <row r="57" spans="1:27" s="243" customFormat="1" ht="8.1" customHeight="1">
      <c r="A57" s="1345" t="s">
        <v>1167</v>
      </c>
      <c r="B57" s="1343">
        <v>97480</v>
      </c>
      <c r="C57" s="1343">
        <v>29170</v>
      </c>
      <c r="D57" s="1343">
        <v>13290</v>
      </c>
      <c r="E57" s="1343">
        <v>159568</v>
      </c>
      <c r="F57" s="1343">
        <v>11243</v>
      </c>
      <c r="G57" s="1343">
        <v>56698</v>
      </c>
      <c r="H57" s="1343">
        <v>111426</v>
      </c>
      <c r="I57" s="1343">
        <v>5950</v>
      </c>
      <c r="J57" s="1343">
        <v>90475</v>
      </c>
      <c r="K57" s="1343">
        <v>26719</v>
      </c>
      <c r="L57" s="1343">
        <v>53888</v>
      </c>
      <c r="M57" s="1343">
        <v>27637</v>
      </c>
      <c r="N57" s="1343">
        <v>18125</v>
      </c>
      <c r="O57" s="1343">
        <v>14517</v>
      </c>
      <c r="P57" s="1343">
        <v>75352</v>
      </c>
      <c r="Q57" s="878">
        <f>SUM(B57:P57)</f>
        <v>791538</v>
      </c>
      <c r="R57" s="1343">
        <v>33324</v>
      </c>
      <c r="S57" s="1035">
        <f>Q57+R57</f>
        <v>824862</v>
      </c>
      <c r="T57" s="1343">
        <v>53548</v>
      </c>
      <c r="U57" s="1035">
        <f>S57+T57</f>
        <v>878410</v>
      </c>
      <c r="V57" s="1386" t="s">
        <v>1167</v>
      </c>
    </row>
    <row r="58" spans="1:27" s="33" customFormat="1" ht="8.1" customHeight="1">
      <c r="A58" s="1333"/>
      <c r="B58" s="1340">
        <f t="shared" ref="B58:S60" si="8">(B57/$S57)*100</f>
        <v>11.817734360414226</v>
      </c>
      <c r="C58" s="1340">
        <f t="shared" si="8"/>
        <v>3.5363491105178806</v>
      </c>
      <c r="D58" s="1340">
        <f t="shared" si="8"/>
        <v>1.6111785971471591</v>
      </c>
      <c r="E58" s="1340">
        <f t="shared" si="8"/>
        <v>19.344811616973505</v>
      </c>
      <c r="F58" s="1340">
        <f t="shared" si="8"/>
        <v>1.3630158741704674</v>
      </c>
      <c r="G58" s="1340">
        <f t="shared" si="8"/>
        <v>6.8736346200940286</v>
      </c>
      <c r="H58" s="1340">
        <f t="shared" si="8"/>
        <v>13.50844141201801</v>
      </c>
      <c r="I58" s="1340">
        <f t="shared" si="8"/>
        <v>0.72133278051358896</v>
      </c>
      <c r="J58" s="1340">
        <f t="shared" si="8"/>
        <v>10.968501397809574</v>
      </c>
      <c r="K58" s="1340">
        <f t="shared" si="8"/>
        <v>3.2392084979063167</v>
      </c>
      <c r="L58" s="1340">
        <f t="shared" si="8"/>
        <v>6.5329715758514766</v>
      </c>
      <c r="M58" s="1340">
        <f t="shared" si="8"/>
        <v>3.350499841185556</v>
      </c>
      <c r="N58" s="1340">
        <f t="shared" si="8"/>
        <v>2.197337251564504</v>
      </c>
      <c r="O58" s="1340">
        <f t="shared" si="8"/>
        <v>1.7599307520530707</v>
      </c>
      <c r="P58" s="1340">
        <f t="shared" si="8"/>
        <v>9.1351038113041927</v>
      </c>
      <c r="Q58" s="1340">
        <f t="shared" si="8"/>
        <v>95.960051499523559</v>
      </c>
      <c r="R58" s="1340">
        <f t="shared" si="8"/>
        <v>4.0399485004764433</v>
      </c>
      <c r="S58" s="1340">
        <f t="shared" si="8"/>
        <v>100</v>
      </c>
      <c r="T58" s="1378"/>
      <c r="U58" s="1378"/>
      <c r="V58" s="1342"/>
    </row>
    <row r="59" spans="1:27" s="243" customFormat="1" ht="8.1" customHeight="1">
      <c r="A59" s="1345" t="s">
        <v>1299</v>
      </c>
      <c r="B59" s="1343">
        <v>99228</v>
      </c>
      <c r="C59" s="1343">
        <v>30950</v>
      </c>
      <c r="D59" s="1343">
        <v>14997</v>
      </c>
      <c r="E59" s="1343">
        <v>178223</v>
      </c>
      <c r="F59" s="1343">
        <v>12742</v>
      </c>
      <c r="G59" s="1343">
        <v>61552</v>
      </c>
      <c r="H59" s="1343">
        <v>118665</v>
      </c>
      <c r="I59" s="1343">
        <v>6366</v>
      </c>
      <c r="J59" s="1343">
        <v>95972</v>
      </c>
      <c r="K59" s="1343">
        <v>28787</v>
      </c>
      <c r="L59" s="1343">
        <v>56297</v>
      </c>
      <c r="M59" s="1343">
        <v>30796</v>
      </c>
      <c r="N59" s="1343">
        <v>20248</v>
      </c>
      <c r="O59" s="1343">
        <v>15612</v>
      </c>
      <c r="P59" s="1343">
        <v>77838</v>
      </c>
      <c r="Q59" s="878">
        <f>SUM(B59:P59)</f>
        <v>848273</v>
      </c>
      <c r="R59" s="1343">
        <v>35266</v>
      </c>
      <c r="S59" s="1035">
        <f>Q59+R59</f>
        <v>883539</v>
      </c>
      <c r="T59" s="1343">
        <v>50891</v>
      </c>
      <c r="U59" s="1035">
        <f>S59+T59</f>
        <v>934430</v>
      </c>
      <c r="V59" s="1386" t="s">
        <v>1299</v>
      </c>
    </row>
    <row r="60" spans="1:27" s="33" customFormat="1" ht="8.1" customHeight="1">
      <c r="A60" s="1333"/>
      <c r="B60" s="1340">
        <f t="shared" si="8"/>
        <v>11.230743634406631</v>
      </c>
      <c r="C60" s="1340">
        <f t="shared" si="8"/>
        <v>3.5029579905357884</v>
      </c>
      <c r="D60" s="1340">
        <f t="shared" si="8"/>
        <v>1.6973783839762593</v>
      </c>
      <c r="E60" s="1340">
        <f t="shared" si="8"/>
        <v>20.171492146922773</v>
      </c>
      <c r="F60" s="1340">
        <f t="shared" si="8"/>
        <v>1.4421547888661395</v>
      </c>
      <c r="G60" s="1340">
        <f t="shared" si="8"/>
        <v>6.9665289251521436</v>
      </c>
      <c r="H60" s="1340">
        <f t="shared" si="8"/>
        <v>13.430646524941173</v>
      </c>
      <c r="I60" s="1340">
        <f t="shared" si="8"/>
        <v>0.7205114884572158</v>
      </c>
      <c r="J60" s="1340">
        <f t="shared" si="8"/>
        <v>10.862225662930555</v>
      </c>
      <c r="K60" s="1340">
        <f t="shared" si="8"/>
        <v>3.2581470653813809</v>
      </c>
      <c r="L60" s="1340">
        <f t="shared" si="8"/>
        <v>6.3717617445296693</v>
      </c>
      <c r="M60" s="1340">
        <f t="shared" si="8"/>
        <v>3.4855280864794875</v>
      </c>
      <c r="N60" s="1340">
        <f t="shared" si="8"/>
        <v>2.2916928398180501</v>
      </c>
      <c r="O60" s="1340">
        <f t="shared" si="8"/>
        <v>1.7669848190062918</v>
      </c>
      <c r="P60" s="1340">
        <f t="shared" si="8"/>
        <v>8.8097978697035444</v>
      </c>
      <c r="Q60" s="1340">
        <f t="shared" si="8"/>
        <v>96.00855197110711</v>
      </c>
      <c r="R60" s="1340">
        <f t="shared" si="8"/>
        <v>3.9914480288928953</v>
      </c>
      <c r="S60" s="1340">
        <f t="shared" si="8"/>
        <v>100</v>
      </c>
      <c r="T60" s="1378"/>
      <c r="U60" s="1378"/>
      <c r="V60" s="1342"/>
    </row>
    <row r="61" spans="1:27" s="243" customFormat="1" ht="8.1" customHeight="1">
      <c r="A61" s="188" t="s">
        <v>1332</v>
      </c>
      <c r="B61" s="1343">
        <v>101173</v>
      </c>
      <c r="C61" s="1343">
        <v>32879</v>
      </c>
      <c r="D61" s="1343">
        <v>16330</v>
      </c>
      <c r="E61" s="1343">
        <v>197765</v>
      </c>
      <c r="F61" s="1343">
        <v>13820</v>
      </c>
      <c r="G61" s="1343">
        <v>66951</v>
      </c>
      <c r="H61" s="1343">
        <v>127417</v>
      </c>
      <c r="I61" s="1343">
        <v>6820</v>
      </c>
      <c r="J61" s="1343">
        <v>102463</v>
      </c>
      <c r="K61" s="1343">
        <v>31413</v>
      </c>
      <c r="L61" s="1343">
        <v>58997</v>
      </c>
      <c r="M61" s="1343">
        <v>33615</v>
      </c>
      <c r="N61" s="1343">
        <v>22547</v>
      </c>
      <c r="O61" s="1343">
        <v>16804</v>
      </c>
      <c r="P61" s="1343">
        <v>80653</v>
      </c>
      <c r="Q61" s="878">
        <f>SUM(B61:P61)</f>
        <v>909647</v>
      </c>
      <c r="R61" s="1343">
        <v>38252</v>
      </c>
      <c r="S61" s="1035">
        <f>Q61+R61</f>
        <v>947899</v>
      </c>
      <c r="T61" s="1035">
        <v>40731</v>
      </c>
      <c r="U61" s="1035">
        <f>S61+T61</f>
        <v>988630</v>
      </c>
      <c r="V61" s="304" t="s">
        <v>1332</v>
      </c>
    </row>
    <row r="62" spans="1:27" s="33" customFormat="1" ht="8.1" customHeight="1">
      <c r="A62" s="1333"/>
      <c r="B62" s="1340">
        <f t="shared" ref="B62:S68" si="9">(B61/$S61)*100</f>
        <v>10.673394528319999</v>
      </c>
      <c r="C62" s="1340">
        <f t="shared" si="9"/>
        <v>3.4686184920545329</v>
      </c>
      <c r="D62" s="1340">
        <f t="shared" si="9"/>
        <v>1.7227573823793463</v>
      </c>
      <c r="E62" s="1340">
        <f t="shared" si="9"/>
        <v>20.863509719917417</v>
      </c>
      <c r="F62" s="1340">
        <f t="shared" si="9"/>
        <v>1.4579612384863789</v>
      </c>
      <c r="G62" s="1340">
        <f t="shared" si="9"/>
        <v>7.0630942748119789</v>
      </c>
      <c r="H62" s="1340">
        <f t="shared" si="9"/>
        <v>13.442043930840732</v>
      </c>
      <c r="I62" s="1340">
        <f t="shared" si="9"/>
        <v>0.71948593679284401</v>
      </c>
      <c r="J62" s="1340">
        <f t="shared" si="9"/>
        <v>10.809484976774952</v>
      </c>
      <c r="K62" s="1340">
        <f t="shared" si="9"/>
        <v>3.313960664585573</v>
      </c>
      <c r="L62" s="1340">
        <f t="shared" si="9"/>
        <v>6.2239753391447818</v>
      </c>
      <c r="M62" s="1340">
        <f t="shared" si="9"/>
        <v>3.5462638952040249</v>
      </c>
      <c r="N62" s="1340">
        <f t="shared" si="9"/>
        <v>2.3786289467548758</v>
      </c>
      <c r="O62" s="1340">
        <f t="shared" si="9"/>
        <v>1.7727627099511656</v>
      </c>
      <c r="P62" s="1340">
        <f t="shared" si="9"/>
        <v>8.508606929641239</v>
      </c>
      <c r="Q62" s="1340">
        <f t="shared" si="9"/>
        <v>95.964548965659844</v>
      </c>
      <c r="R62" s="1340">
        <f t="shared" si="9"/>
        <v>4.0354510343401566</v>
      </c>
      <c r="S62" s="1340">
        <f t="shared" si="9"/>
        <v>100</v>
      </c>
      <c r="T62" s="1378"/>
      <c r="U62" s="1378"/>
      <c r="V62" s="1342"/>
      <c r="W62" s="68"/>
      <c r="X62" s="68"/>
      <c r="Y62" s="68"/>
      <c r="Z62" s="68"/>
      <c r="AA62" s="68"/>
    </row>
    <row r="63" spans="1:27" s="243" customFormat="1" ht="8.1" customHeight="1">
      <c r="A63" s="188" t="s">
        <v>1471</v>
      </c>
      <c r="B63" s="1343">
        <v>104688</v>
      </c>
      <c r="C63" s="1343">
        <v>34974</v>
      </c>
      <c r="D63" s="1343">
        <v>17474</v>
      </c>
      <c r="E63" s="1343">
        <v>224270</v>
      </c>
      <c r="F63" s="1343">
        <v>15089</v>
      </c>
      <c r="G63" s="1343">
        <v>73595</v>
      </c>
      <c r="H63" s="1343">
        <v>136914</v>
      </c>
      <c r="I63" s="1343">
        <v>7316</v>
      </c>
      <c r="J63" s="1343">
        <v>109208</v>
      </c>
      <c r="K63" s="1343">
        <v>33893</v>
      </c>
      <c r="L63" s="1343">
        <v>61936</v>
      </c>
      <c r="M63" s="1343">
        <v>36463</v>
      </c>
      <c r="N63" s="1343">
        <v>24127</v>
      </c>
      <c r="O63" s="1343">
        <v>17984</v>
      </c>
      <c r="P63" s="1343">
        <v>83598</v>
      </c>
      <c r="Q63" s="878">
        <f>SUM(B63:P63)</f>
        <v>981529</v>
      </c>
      <c r="R63" s="1343">
        <v>40909</v>
      </c>
      <c r="S63" s="1035">
        <f>Q63+R63</f>
        <v>1022438</v>
      </c>
      <c r="T63" s="1035">
        <v>46626</v>
      </c>
      <c r="U63" s="1035">
        <f>S63+T63</f>
        <v>1069064</v>
      </c>
      <c r="V63" s="304" t="s">
        <v>1471</v>
      </c>
      <c r="W63" s="188"/>
      <c r="X63" s="1346"/>
      <c r="Y63" s="188"/>
      <c r="Z63" s="188"/>
      <c r="AA63" s="188"/>
    </row>
    <row r="64" spans="1:27" ht="8.1" customHeight="1">
      <c r="A64" s="1333"/>
      <c r="B64" s="1340">
        <f t="shared" si="9"/>
        <v>10.239056060122961</v>
      </c>
      <c r="C64" s="1340">
        <f t="shared" si="9"/>
        <v>3.4206475111449302</v>
      </c>
      <c r="D64" s="1340">
        <f t="shared" si="9"/>
        <v>1.7090522848329188</v>
      </c>
      <c r="E64" s="1340">
        <f t="shared" si="9"/>
        <v>21.934826365999697</v>
      </c>
      <c r="F64" s="1340">
        <f t="shared" si="9"/>
        <v>1.4757863068469677</v>
      </c>
      <c r="G64" s="1340">
        <f t="shared" si="9"/>
        <v>7.1979914674532841</v>
      </c>
      <c r="H64" s="1340">
        <f t="shared" si="9"/>
        <v>13.390934218016154</v>
      </c>
      <c r="I64" s="1340">
        <f t="shared" si="9"/>
        <v>0.7155446100399242</v>
      </c>
      <c r="J64" s="1340">
        <f t="shared" si="9"/>
        <v>10.681136655718976</v>
      </c>
      <c r="K64" s="1340">
        <f t="shared" si="9"/>
        <v>3.3149198288795998</v>
      </c>
      <c r="L64" s="1340">
        <f t="shared" si="9"/>
        <v>6.05767782496347</v>
      </c>
      <c r="M64" s="1340">
        <f t="shared" si="9"/>
        <v>3.5662798135437059</v>
      </c>
      <c r="N64" s="1340">
        <f t="shared" si="9"/>
        <v>2.3597518871559937</v>
      </c>
      <c r="O64" s="1340">
        <f t="shared" si="9"/>
        <v>1.7589330599997259</v>
      </c>
      <c r="P64" s="1340">
        <f t="shared" si="9"/>
        <v>8.1763392988132289</v>
      </c>
      <c r="Q64" s="1340">
        <f t="shared" si="9"/>
        <v>95.998877193531541</v>
      </c>
      <c r="R64" s="1340">
        <f t="shared" si="9"/>
        <v>4.0011228064684605</v>
      </c>
      <c r="S64" s="1340">
        <f t="shared" si="9"/>
        <v>100</v>
      </c>
      <c r="T64" s="1378"/>
      <c r="U64" s="1378"/>
      <c r="V64" s="1342"/>
      <c r="W64" s="76"/>
      <c r="X64" s="661"/>
      <c r="Y64" s="76"/>
      <c r="Z64" s="76"/>
      <c r="AA64" s="76"/>
    </row>
    <row r="65" spans="1:27" s="478" customFormat="1" ht="9" customHeight="1">
      <c r="A65" s="188" t="s">
        <v>1600</v>
      </c>
      <c r="B65" s="1343">
        <v>107991</v>
      </c>
      <c r="C65" s="1343">
        <v>37146</v>
      </c>
      <c r="D65" s="1343">
        <v>18501</v>
      </c>
      <c r="E65" s="1343">
        <v>256118</v>
      </c>
      <c r="F65" s="1343">
        <v>16535</v>
      </c>
      <c r="G65" s="1343">
        <v>81139</v>
      </c>
      <c r="H65" s="1343">
        <v>148058</v>
      </c>
      <c r="I65" s="1343">
        <v>7870</v>
      </c>
      <c r="J65" s="1343">
        <v>117056</v>
      </c>
      <c r="K65" s="1343">
        <v>36394</v>
      </c>
      <c r="L65" s="1343">
        <v>65173</v>
      </c>
      <c r="M65" s="1343">
        <v>38795</v>
      </c>
      <c r="N65" s="1343">
        <v>25976</v>
      </c>
      <c r="O65" s="1343">
        <v>20105</v>
      </c>
      <c r="P65" s="1343">
        <v>86706</v>
      </c>
      <c r="Q65" s="878">
        <f>SUM(B65:P65)</f>
        <v>1063563</v>
      </c>
      <c r="R65" s="1343">
        <v>42231</v>
      </c>
      <c r="S65" s="1035">
        <f>Q65+R65</f>
        <v>1105794</v>
      </c>
      <c r="T65" s="1343">
        <v>49412</v>
      </c>
      <c r="U65" s="1035">
        <f>S65+T65</f>
        <v>1155206</v>
      </c>
      <c r="V65" s="304" t="s">
        <v>1600</v>
      </c>
      <c r="W65" s="526"/>
      <c r="X65" s="1347"/>
      <c r="Y65" s="526"/>
      <c r="Z65" s="526"/>
      <c r="AA65" s="526"/>
    </row>
    <row r="66" spans="1:27" ht="8.1" customHeight="1">
      <c r="A66" s="1333"/>
      <c r="B66" s="1340">
        <f t="shared" si="9"/>
        <v>9.765923852001368</v>
      </c>
      <c r="C66" s="1340">
        <f t="shared" si="9"/>
        <v>3.3592151883623895</v>
      </c>
      <c r="D66" s="1340">
        <f t="shared" si="9"/>
        <v>1.6730964356833189</v>
      </c>
      <c r="E66" s="1340">
        <f t="shared" si="9"/>
        <v>23.161456835540797</v>
      </c>
      <c r="F66" s="1340">
        <f t="shared" si="9"/>
        <v>1.4953056355885455</v>
      </c>
      <c r="G66" s="1340">
        <f t="shared" si="9"/>
        <v>7.3376234633213784</v>
      </c>
      <c r="H66" s="1340">
        <f t="shared" si="9"/>
        <v>13.389293123312299</v>
      </c>
      <c r="I66" s="1340">
        <f t="shared" si="9"/>
        <v>0.71170579692058378</v>
      </c>
      <c r="J66" s="1340">
        <f t="shared" si="9"/>
        <v>10.585696793435305</v>
      </c>
      <c r="K66" s="1340">
        <f t="shared" si="9"/>
        <v>3.2912097551623538</v>
      </c>
      <c r="L66" s="1340">
        <f t="shared" si="9"/>
        <v>5.8937740664174338</v>
      </c>
      <c r="M66" s="1340">
        <f t="shared" si="9"/>
        <v>3.5083388045151267</v>
      </c>
      <c r="N66" s="1340">
        <f t="shared" si="9"/>
        <v>2.349081293622501</v>
      </c>
      <c r="O66" s="1340">
        <f t="shared" si="9"/>
        <v>1.8181505777748839</v>
      </c>
      <c r="P66" s="1340">
        <f t="shared" si="9"/>
        <v>7.8410626210668539</v>
      </c>
      <c r="Q66" s="1340">
        <f t="shared" si="9"/>
        <v>96.180934242725129</v>
      </c>
      <c r="R66" s="1340">
        <f t="shared" si="9"/>
        <v>3.819065757274863</v>
      </c>
      <c r="S66" s="1340">
        <f t="shared" si="9"/>
        <v>100</v>
      </c>
      <c r="T66" s="1378"/>
      <c r="U66" s="1378"/>
      <c r="V66" s="1342"/>
      <c r="W66" s="76"/>
      <c r="X66" s="661"/>
      <c r="Y66" s="76"/>
      <c r="Z66" s="76"/>
      <c r="AA66" s="76"/>
    </row>
    <row r="67" spans="1:27" s="478" customFormat="1" ht="8.25" customHeight="1">
      <c r="A67" s="1295" t="s">
        <v>1695</v>
      </c>
      <c r="B67" s="1343">
        <v>112423</v>
      </c>
      <c r="C67" s="1343">
        <v>39383</v>
      </c>
      <c r="D67" s="1343">
        <v>18681</v>
      </c>
      <c r="E67" s="1343">
        <v>260728</v>
      </c>
      <c r="F67" s="1343">
        <v>16814</v>
      </c>
      <c r="G67" s="1343">
        <v>88169</v>
      </c>
      <c r="H67" s="1343">
        <v>154029</v>
      </c>
      <c r="I67" s="1343">
        <v>8007</v>
      </c>
      <c r="J67" s="1343">
        <v>121355</v>
      </c>
      <c r="K67" s="1343">
        <v>37521</v>
      </c>
      <c r="L67" s="1343">
        <v>68317</v>
      </c>
      <c r="M67" s="1343">
        <v>40906</v>
      </c>
      <c r="N67" s="1343">
        <v>27290</v>
      </c>
      <c r="O67" s="1343">
        <v>22109</v>
      </c>
      <c r="P67" s="1343">
        <v>89319</v>
      </c>
      <c r="Q67" s="878">
        <f>SUM(B67:P67)</f>
        <v>1105051</v>
      </c>
      <c r="R67" s="1343">
        <v>39546</v>
      </c>
      <c r="S67" s="1035">
        <f>Q67+R67</f>
        <v>1144597</v>
      </c>
      <c r="T67" s="1343">
        <v>55948</v>
      </c>
      <c r="U67" s="1035">
        <f>S67+T67</f>
        <v>1200545</v>
      </c>
      <c r="V67" s="304" t="s">
        <v>1695</v>
      </c>
      <c r="W67" s="526"/>
      <c r="X67" s="526"/>
      <c r="Y67" s="526"/>
      <c r="Z67" s="526"/>
      <c r="AA67" s="526"/>
    </row>
    <row r="68" spans="1:27" ht="6.75" customHeight="1">
      <c r="A68" s="1333"/>
      <c r="B68" s="1340">
        <f>(B67/$S67)*100</f>
        <v>9.822059641952583</v>
      </c>
      <c r="C68" s="1340">
        <f t="shared" si="9"/>
        <v>3.4407743511471724</v>
      </c>
      <c r="D68" s="1340">
        <f t="shared" si="9"/>
        <v>1.6321028274580485</v>
      </c>
      <c r="E68" s="1340">
        <f t="shared" si="9"/>
        <v>22.779021786707464</v>
      </c>
      <c r="F68" s="1340">
        <f t="shared" si="9"/>
        <v>1.4689886484063823</v>
      </c>
      <c r="G68" s="1340">
        <f t="shared" si="9"/>
        <v>7.7030605531903369</v>
      </c>
      <c r="H68" s="1340">
        <f t="shared" si="9"/>
        <v>13.457050822254471</v>
      </c>
      <c r="I68" s="1340">
        <f t="shared" si="9"/>
        <v>0.69954752633459638</v>
      </c>
      <c r="J68" s="1340">
        <f t="shared" si="9"/>
        <v>10.602421638358305</v>
      </c>
      <c r="K68" s="1340">
        <f t="shared" si="9"/>
        <v>3.2780970070688635</v>
      </c>
      <c r="L68" s="1340">
        <f t="shared" si="9"/>
        <v>5.9686509749719772</v>
      </c>
      <c r="M68" s="1340">
        <f t="shared" si="9"/>
        <v>3.5738342840318467</v>
      </c>
      <c r="N68" s="1340">
        <f t="shared" si="9"/>
        <v>2.3842452845848801</v>
      </c>
      <c r="O68" s="1340">
        <f t="shared" si="9"/>
        <v>1.9315968851919059</v>
      </c>
      <c r="P68" s="1340">
        <f t="shared" si="9"/>
        <v>7.8035325970625475</v>
      </c>
      <c r="Q68" s="1340">
        <f t="shared" si="9"/>
        <v>96.544984828721383</v>
      </c>
      <c r="R68" s="1340">
        <f t="shared" si="9"/>
        <v>3.4550151712786246</v>
      </c>
      <c r="S68" s="1340">
        <f t="shared" si="9"/>
        <v>100</v>
      </c>
      <c r="T68" s="1378"/>
      <c r="U68" s="1378"/>
      <c r="V68" s="1342"/>
      <c r="W68" s="1348"/>
      <c r="X68" s="76"/>
    </row>
    <row r="69" spans="1:27" s="478" customFormat="1" ht="10.5" customHeight="1">
      <c r="A69" s="188" t="s">
        <v>2361</v>
      </c>
      <c r="B69" s="1343">
        <v>115405</v>
      </c>
      <c r="C69" s="1343">
        <v>41643</v>
      </c>
      <c r="D69" s="1343">
        <v>18735</v>
      </c>
      <c r="E69" s="1343">
        <v>275764</v>
      </c>
      <c r="F69" s="1343">
        <v>17611</v>
      </c>
      <c r="G69" s="1343">
        <v>95824</v>
      </c>
      <c r="H69" s="1343">
        <v>164109</v>
      </c>
      <c r="I69" s="1343">
        <v>8556</v>
      </c>
      <c r="J69" s="1343">
        <v>128718</v>
      </c>
      <c r="K69" s="1343">
        <v>39139</v>
      </c>
      <c r="L69" s="1343">
        <v>71662</v>
      </c>
      <c r="M69" s="1343">
        <v>43424</v>
      </c>
      <c r="N69" s="1343">
        <v>28807</v>
      </c>
      <c r="O69" s="1343">
        <v>24308</v>
      </c>
      <c r="P69" s="1343">
        <v>92044</v>
      </c>
      <c r="Q69" s="878">
        <f>SUM(B69:P69)</f>
        <v>1165749</v>
      </c>
      <c r="R69" s="1343">
        <v>41497</v>
      </c>
      <c r="S69" s="1035">
        <f>Q69+R69</f>
        <v>1207246</v>
      </c>
      <c r="T69" s="1343">
        <v>74873</v>
      </c>
      <c r="U69" s="1035">
        <f>S69+T69</f>
        <v>1282119</v>
      </c>
      <c r="V69" s="304" t="s">
        <v>2361</v>
      </c>
      <c r="W69" s="526"/>
      <c r="X69" s="526"/>
    </row>
    <row r="70" spans="1:27" ht="8.25" customHeight="1" thickBot="1">
      <c r="A70" s="942"/>
      <c r="B70" s="1379">
        <f>(B69/$S69)*100</f>
        <v>9.5593607268112706</v>
      </c>
      <c r="C70" s="1379">
        <f t="shared" ref="C70:S70" si="10">(C69/$S69)*100</f>
        <v>3.4494212447173158</v>
      </c>
      <c r="D70" s="1379">
        <f t="shared" si="10"/>
        <v>1.5518792358806737</v>
      </c>
      <c r="E70" s="1379">
        <f t="shared" si="10"/>
        <v>22.842403288145082</v>
      </c>
      <c r="F70" s="1379">
        <f t="shared" si="10"/>
        <v>1.4587747650437441</v>
      </c>
      <c r="G70" s="1379">
        <f t="shared" si="10"/>
        <v>7.9374046383255781</v>
      </c>
      <c r="H70" s="1379">
        <f t="shared" si="10"/>
        <v>13.59366690798727</v>
      </c>
      <c r="I70" s="1379">
        <f t="shared" si="10"/>
        <v>0.70872050932452879</v>
      </c>
      <c r="J70" s="1379">
        <f t="shared" si="10"/>
        <v>10.6621185740106</v>
      </c>
      <c r="K70" s="1379">
        <f t="shared" si="10"/>
        <v>3.2420070143119131</v>
      </c>
      <c r="L70" s="1379">
        <f t="shared" si="10"/>
        <v>5.9359898479680195</v>
      </c>
      <c r="M70" s="1379">
        <f t="shared" si="10"/>
        <v>3.5969471010879306</v>
      </c>
      <c r="N70" s="1379">
        <f t="shared" si="10"/>
        <v>2.3861748144123069</v>
      </c>
      <c r="O70" s="1379">
        <f t="shared" si="10"/>
        <v>2.0135084315872653</v>
      </c>
      <c r="P70" s="1379">
        <f t="shared" si="10"/>
        <v>7.6242952968988922</v>
      </c>
      <c r="Q70" s="1379">
        <f t="shared" si="10"/>
        <v>96.562672396512397</v>
      </c>
      <c r="R70" s="1379">
        <f t="shared" si="10"/>
        <v>3.4373276034876077</v>
      </c>
      <c r="S70" s="1379">
        <f t="shared" si="10"/>
        <v>100</v>
      </c>
      <c r="T70" s="1380"/>
      <c r="U70" s="1380"/>
      <c r="V70" s="943"/>
      <c r="W70" s="76"/>
      <c r="X70" s="76"/>
    </row>
    <row r="71" spans="1:27" ht="12.75" customHeight="1">
      <c r="A71" s="83" t="s">
        <v>283</v>
      </c>
      <c r="B71" s="2145" t="s">
        <v>2362</v>
      </c>
      <c r="C71" s="2145"/>
      <c r="D71" s="2145"/>
      <c r="E71" s="2145"/>
      <c r="F71" s="2145"/>
      <c r="G71" s="2145"/>
      <c r="H71" s="2145"/>
      <c r="I71" s="2145"/>
      <c r="J71" s="2145"/>
      <c r="K71" s="2145"/>
      <c r="L71" s="2146" t="s">
        <v>2363</v>
      </c>
      <c r="M71" s="2147"/>
      <c r="N71" s="2147"/>
      <c r="O71" s="2147"/>
      <c r="P71" s="2148"/>
      <c r="Q71" s="2147"/>
      <c r="R71" s="2147"/>
      <c r="S71" s="2147"/>
      <c r="T71" s="2147"/>
      <c r="U71" s="2149" t="s">
        <v>1771</v>
      </c>
      <c r="V71" s="2149"/>
      <c r="W71" s="76"/>
      <c r="X71" s="76"/>
    </row>
    <row r="72" spans="1:27">
      <c r="H72" s="1349"/>
      <c r="W72" s="76"/>
      <c r="X72" s="76"/>
    </row>
    <row r="73" spans="1:27">
      <c r="H73" s="1349"/>
      <c r="W73" s="76"/>
      <c r="X73" s="76"/>
    </row>
    <row r="74" spans="1:27">
      <c r="H74" s="1350"/>
      <c r="W74" s="76"/>
      <c r="X74" s="76"/>
    </row>
    <row r="75" spans="1:27">
      <c r="H75" s="1350"/>
      <c r="W75" s="76"/>
      <c r="X75" s="76"/>
    </row>
    <row r="76" spans="1:27">
      <c r="H76" s="1351"/>
    </row>
    <row r="77" spans="1:27">
      <c r="H77" s="1351"/>
    </row>
    <row r="78" spans="1:27">
      <c r="H78" s="1350"/>
    </row>
    <row r="79" spans="1:27">
      <c r="H79" s="1350"/>
    </row>
    <row r="80" spans="1:27">
      <c r="H80" s="1350"/>
    </row>
    <row r="81" spans="8:8">
      <c r="H81" s="1350"/>
    </row>
    <row r="82" spans="8:8">
      <c r="H82" s="1350"/>
    </row>
    <row r="83" spans="8:8">
      <c r="H83" s="1350"/>
    </row>
    <row r="84" spans="8:8">
      <c r="H84" s="1351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45" firstPageNumber="46" orientation="portrait" useFirstPageNumber="1" r:id="rId2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abSelected="1" topLeftCell="A13" zoomScale="124" zoomScaleNormal="124" workbookViewId="0">
      <selection activeCell="C35" sqref="C35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5" t="s">
        <v>796</v>
      </c>
      <c r="C2" s="205"/>
      <c r="D2" s="205"/>
    </row>
    <row r="3" spans="2:4">
      <c r="B3" s="42" t="s">
        <v>797</v>
      </c>
      <c r="C3" s="206" t="s">
        <v>1430</v>
      </c>
      <c r="D3" s="201"/>
    </row>
    <row r="4" spans="2:4">
      <c r="B4" s="42" t="s">
        <v>798</v>
      </c>
      <c r="C4" s="206" t="s">
        <v>1392</v>
      </c>
      <c r="D4" s="201"/>
    </row>
    <row r="5" spans="2:4">
      <c r="B5" s="42" t="s">
        <v>799</v>
      </c>
      <c r="C5" s="206" t="s">
        <v>826</v>
      </c>
      <c r="D5" s="201"/>
    </row>
    <row r="6" spans="2:4">
      <c r="B6" s="42" t="s">
        <v>800</v>
      </c>
      <c r="C6" s="206" t="s">
        <v>801</v>
      </c>
      <c r="D6" s="201"/>
    </row>
    <row r="7" spans="2:4">
      <c r="B7" s="42" t="s">
        <v>802</v>
      </c>
      <c r="C7" s="206" t="s">
        <v>1393</v>
      </c>
      <c r="D7" s="201"/>
    </row>
    <row r="8" spans="2:4">
      <c r="B8" s="42" t="s">
        <v>803</v>
      </c>
      <c r="C8" s="206" t="s">
        <v>1394</v>
      </c>
      <c r="D8" s="201"/>
    </row>
    <row r="9" spans="2:4">
      <c r="B9" s="42" t="s">
        <v>804</v>
      </c>
      <c r="C9" s="206" t="s">
        <v>827</v>
      </c>
      <c r="D9" s="201"/>
    </row>
    <row r="10" spans="2:4" s="1122" customFormat="1">
      <c r="B10" s="200" t="s">
        <v>805</v>
      </c>
      <c r="C10" s="905" t="s">
        <v>902</v>
      </c>
      <c r="D10" s="201"/>
    </row>
    <row r="11" spans="2:4" s="1122" customFormat="1">
      <c r="B11" s="200" t="s">
        <v>1193</v>
      </c>
      <c r="C11" s="206" t="s">
        <v>1194</v>
      </c>
      <c r="D11" s="201"/>
    </row>
    <row r="12" spans="2:4" s="1122" customFormat="1">
      <c r="B12" s="200" t="s">
        <v>806</v>
      </c>
      <c r="C12" s="206" t="s">
        <v>807</v>
      </c>
      <c r="D12" s="201"/>
    </row>
    <row r="13" spans="2:4" s="1122" customFormat="1">
      <c r="B13" s="200" t="s">
        <v>808</v>
      </c>
      <c r="C13" s="206" t="s">
        <v>1399</v>
      </c>
      <c r="D13" s="1132"/>
    </row>
    <row r="14" spans="2:4" s="1122" customFormat="1">
      <c r="B14" s="200" t="s">
        <v>766</v>
      </c>
      <c r="C14" s="206" t="s">
        <v>809</v>
      </c>
      <c r="D14" s="201"/>
    </row>
    <row r="15" spans="2:4" s="1122" customFormat="1">
      <c r="B15" s="200" t="s">
        <v>767</v>
      </c>
      <c r="C15" s="206" t="s">
        <v>810</v>
      </c>
      <c r="D15" s="201"/>
    </row>
    <row r="16" spans="2:4" s="1122" customFormat="1">
      <c r="B16" s="200" t="s">
        <v>768</v>
      </c>
      <c r="C16" s="206" t="s">
        <v>811</v>
      </c>
      <c r="D16" s="201"/>
    </row>
    <row r="17" spans="2:4" s="1122" customFormat="1">
      <c r="B17" s="200" t="s">
        <v>769</v>
      </c>
      <c r="C17" s="206" t="s">
        <v>1404</v>
      </c>
      <c r="D17" s="201"/>
    </row>
    <row r="18" spans="2:4" s="1122" customFormat="1">
      <c r="B18" s="200" t="s">
        <v>770</v>
      </c>
      <c r="C18" s="206" t="s">
        <v>812</v>
      </c>
      <c r="D18" s="201"/>
    </row>
    <row r="19" spans="2:4" s="1122" customFormat="1">
      <c r="B19" s="200" t="s">
        <v>1195</v>
      </c>
      <c r="C19" s="206" t="s">
        <v>2380</v>
      </c>
      <c r="D19" s="201"/>
    </row>
    <row r="20" spans="2:4" s="1122" customFormat="1">
      <c r="B20" s="200" t="s">
        <v>1196</v>
      </c>
      <c r="C20" s="206" t="s">
        <v>2379</v>
      </c>
      <c r="D20" s="201"/>
    </row>
    <row r="21" spans="2:4" s="1122" customFormat="1">
      <c r="B21" s="200" t="s">
        <v>1197</v>
      </c>
      <c r="C21" s="206" t="s">
        <v>813</v>
      </c>
      <c r="D21" s="201"/>
    </row>
    <row r="22" spans="2:4" s="1122" customFormat="1">
      <c r="B22" s="200" t="s">
        <v>771</v>
      </c>
      <c r="C22" s="206" t="s">
        <v>1419</v>
      </c>
      <c r="D22" s="201"/>
    </row>
    <row r="23" spans="2:4" s="1122" customFormat="1" ht="12.75" customHeight="1">
      <c r="B23" s="200" t="s">
        <v>772</v>
      </c>
      <c r="C23" s="206" t="s">
        <v>825</v>
      </c>
      <c r="D23" s="201"/>
    </row>
    <row r="24" spans="2:4" s="1122" customFormat="1">
      <c r="B24" s="200" t="s">
        <v>1198</v>
      </c>
      <c r="C24" s="206" t="s">
        <v>814</v>
      </c>
      <c r="D24" s="201"/>
    </row>
    <row r="25" spans="2:4" s="1122" customFormat="1">
      <c r="B25" s="200" t="s">
        <v>1199</v>
      </c>
      <c r="C25" s="206" t="s">
        <v>1420</v>
      </c>
      <c r="D25" s="201"/>
    </row>
    <row r="26" spans="2:4" s="1122" customFormat="1">
      <c r="B26" s="200" t="s">
        <v>773</v>
      </c>
      <c r="C26" s="905" t="s">
        <v>2658</v>
      </c>
      <c r="D26" s="201"/>
    </row>
    <row r="27" spans="2:4" s="1122" customFormat="1">
      <c r="B27" s="200" t="s">
        <v>774</v>
      </c>
      <c r="C27" s="968" t="s">
        <v>2449</v>
      </c>
      <c r="D27" s="201"/>
    </row>
    <row r="28" spans="2:4" s="1122" customFormat="1">
      <c r="B28" s="200" t="s">
        <v>775</v>
      </c>
      <c r="C28" s="905" t="s">
        <v>815</v>
      </c>
      <c r="D28" s="201"/>
    </row>
    <row r="29" spans="2:4" s="1122" customFormat="1">
      <c r="B29" s="200" t="s">
        <v>776</v>
      </c>
      <c r="C29" s="206" t="s">
        <v>816</v>
      </c>
      <c r="D29" s="201"/>
    </row>
    <row r="30" spans="2:4" s="1122" customFormat="1">
      <c r="B30" s="200" t="s">
        <v>777</v>
      </c>
      <c r="C30" s="206" t="s">
        <v>817</v>
      </c>
      <c r="D30" s="201"/>
    </row>
    <row r="31" spans="2:4" s="1122" customFormat="1">
      <c r="B31" s="200" t="s">
        <v>778</v>
      </c>
      <c r="C31" s="206" t="s">
        <v>1428</v>
      </c>
      <c r="D31" s="201"/>
    </row>
    <row r="32" spans="2:4" s="1122" customFormat="1">
      <c r="B32" s="200" t="s">
        <v>779</v>
      </c>
      <c r="C32" s="206" t="s">
        <v>818</v>
      </c>
      <c r="D32" s="201"/>
    </row>
    <row r="33" spans="2:4" s="1122" customFormat="1">
      <c r="B33" s="200" t="s">
        <v>780</v>
      </c>
      <c r="C33" s="206" t="s">
        <v>819</v>
      </c>
      <c r="D33" s="201"/>
    </row>
    <row r="34" spans="2:4" s="1122" customFormat="1">
      <c r="B34" s="200" t="s">
        <v>781</v>
      </c>
      <c r="C34" s="206" t="s">
        <v>820</v>
      </c>
      <c r="D34" s="201"/>
    </row>
    <row r="35" spans="2:4" s="1122" customFormat="1">
      <c r="B35" s="200" t="s">
        <v>782</v>
      </c>
      <c r="C35" s="206" t="s">
        <v>821</v>
      </c>
      <c r="D35" s="201"/>
    </row>
    <row r="36" spans="2:4" s="1122" customFormat="1">
      <c r="B36" s="200" t="s">
        <v>783</v>
      </c>
      <c r="C36" s="206" t="s">
        <v>1427</v>
      </c>
      <c r="D36" s="201"/>
    </row>
    <row r="37" spans="2:4" s="1122" customFormat="1" ht="12" customHeight="1">
      <c r="B37" s="200" t="s">
        <v>784</v>
      </c>
      <c r="C37" s="206" t="s">
        <v>1571</v>
      </c>
      <c r="D37" s="202"/>
    </row>
    <row r="38" spans="2:4">
      <c r="B38" s="200" t="s">
        <v>785</v>
      </c>
      <c r="C38" s="206" t="s">
        <v>1751</v>
      </c>
    </row>
    <row r="39" spans="2:4">
      <c r="B39" s="200" t="s">
        <v>786</v>
      </c>
      <c r="C39" s="206" t="s">
        <v>1603</v>
      </c>
    </row>
    <row r="40" spans="2:4">
      <c r="B40" s="200" t="s">
        <v>787</v>
      </c>
      <c r="C40" s="206" t="s">
        <v>1626</v>
      </c>
    </row>
    <row r="41" spans="2:4">
      <c r="B41" s="200" t="s">
        <v>2254</v>
      </c>
      <c r="C41" s="206" t="s">
        <v>2255</v>
      </c>
    </row>
    <row r="42" spans="2:4" s="1409" customFormat="1">
      <c r="B42" s="200" t="s">
        <v>2516</v>
      </c>
      <c r="C42" s="206" t="s">
        <v>2517</v>
      </c>
    </row>
    <row r="44" spans="2:4">
      <c r="C44" s="206" t="s">
        <v>1434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zoomScale="170" zoomScaleNormal="170" workbookViewId="0">
      <pane ySplit="4" topLeftCell="A32" activePane="bottomLeft" state="frozen"/>
      <selection activeCell="F85" sqref="F85"/>
      <selection pane="bottomLeft" activeCell="X40" sqref="X40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15"/>
      <c r="B1" s="1315"/>
      <c r="C1" s="1316" t="s">
        <v>2398</v>
      </c>
      <c r="D1" s="1316"/>
      <c r="E1" s="2156" t="s">
        <v>2399</v>
      </c>
      <c r="F1" s="2156"/>
      <c r="G1" s="2156"/>
      <c r="H1" s="2156"/>
      <c r="I1" s="2156"/>
      <c r="J1" s="2156"/>
      <c r="K1" s="2156"/>
      <c r="L1" s="2156"/>
      <c r="M1" s="2156"/>
      <c r="N1" s="2155" t="s">
        <v>2331</v>
      </c>
      <c r="O1" s="2155"/>
      <c r="P1" s="2155"/>
      <c r="Q1" s="2155"/>
      <c r="R1" s="2155"/>
      <c r="S1" s="2155"/>
      <c r="T1" s="2155"/>
      <c r="U1" s="2155"/>
      <c r="V1" s="2155"/>
      <c r="W1" s="2155"/>
      <c r="X1" s="2155"/>
      <c r="Y1" s="2150" t="s">
        <v>1204</v>
      </c>
      <c r="Z1" s="2151"/>
      <c r="AA1" s="55"/>
    </row>
    <row r="2" spans="1:27" s="95" customFormat="1" ht="11.25" customHeight="1">
      <c r="A2" s="1150"/>
      <c r="B2" s="1150"/>
      <c r="E2" s="1150"/>
      <c r="F2" s="1150"/>
      <c r="G2" s="1150"/>
      <c r="H2" s="1150"/>
      <c r="I2" s="1150"/>
      <c r="J2" s="2152"/>
      <c r="K2" s="2152"/>
      <c r="L2" s="2152"/>
      <c r="M2" s="96"/>
      <c r="N2" s="96"/>
      <c r="O2" s="96"/>
      <c r="Y2" s="2153" t="s">
        <v>24</v>
      </c>
      <c r="Z2" s="2153"/>
    </row>
    <row r="3" spans="1:27" s="43" customFormat="1" ht="69" customHeight="1">
      <c r="A3" s="2097" t="s">
        <v>527</v>
      </c>
      <c r="B3" s="1296" t="s">
        <v>2332</v>
      </c>
      <c r="C3" s="1296" t="s">
        <v>1408</v>
      </c>
      <c r="D3" s="1296" t="s">
        <v>278</v>
      </c>
      <c r="E3" s="1296" t="s">
        <v>2333</v>
      </c>
      <c r="F3" s="1296" t="s">
        <v>2334</v>
      </c>
      <c r="G3" s="1296" t="s">
        <v>279</v>
      </c>
      <c r="H3" s="1296" t="s">
        <v>1417</v>
      </c>
      <c r="I3" s="1296" t="s">
        <v>2335</v>
      </c>
      <c r="J3" s="1296" t="s">
        <v>2336</v>
      </c>
      <c r="K3" s="1296" t="s">
        <v>2337</v>
      </c>
      <c r="L3" s="1296" t="s">
        <v>2338</v>
      </c>
      <c r="M3" s="1296" t="s">
        <v>2339</v>
      </c>
      <c r="N3" s="1296" t="s">
        <v>2340</v>
      </c>
      <c r="O3" s="1296" t="s">
        <v>2341</v>
      </c>
      <c r="P3" s="1296" t="s">
        <v>1413</v>
      </c>
      <c r="Q3" s="1296" t="s">
        <v>281</v>
      </c>
      <c r="R3" s="1296" t="s">
        <v>2342</v>
      </c>
      <c r="S3" s="1296" t="s">
        <v>2343</v>
      </c>
      <c r="T3" s="1296" t="s">
        <v>2344</v>
      </c>
      <c r="U3" s="1296" t="s">
        <v>2345</v>
      </c>
      <c r="V3" s="1296" t="s">
        <v>2346</v>
      </c>
      <c r="W3" s="1296" t="s">
        <v>2347</v>
      </c>
      <c r="X3" s="1296" t="s">
        <v>277</v>
      </c>
      <c r="Y3" s="1303" t="s">
        <v>2348</v>
      </c>
      <c r="Z3" s="2097" t="s">
        <v>527</v>
      </c>
    </row>
    <row r="4" spans="1:27" s="51" customFormat="1" ht="11.25" customHeight="1">
      <c r="A4" s="2009"/>
      <c r="B4" s="667">
        <v>1</v>
      </c>
      <c r="C4" s="667">
        <v>2</v>
      </c>
      <c r="D4" s="667">
        <v>3</v>
      </c>
      <c r="E4" s="667">
        <v>4</v>
      </c>
      <c r="F4" s="667">
        <v>5</v>
      </c>
      <c r="G4" s="667">
        <v>6</v>
      </c>
      <c r="H4" s="667">
        <v>7</v>
      </c>
      <c r="I4" s="667">
        <v>8</v>
      </c>
      <c r="J4" s="667">
        <v>9</v>
      </c>
      <c r="K4" s="667">
        <v>10</v>
      </c>
      <c r="L4" s="667">
        <v>11</v>
      </c>
      <c r="M4" s="667">
        <v>12</v>
      </c>
      <c r="N4" s="667">
        <v>13</v>
      </c>
      <c r="O4" s="667">
        <v>14</v>
      </c>
      <c r="P4" s="667">
        <v>15</v>
      </c>
      <c r="Q4" s="667">
        <v>16</v>
      </c>
      <c r="R4" s="667">
        <v>17</v>
      </c>
      <c r="S4" s="667">
        <v>18</v>
      </c>
      <c r="T4" s="667">
        <v>19</v>
      </c>
      <c r="U4" s="667">
        <v>20</v>
      </c>
      <c r="V4" s="667">
        <v>21</v>
      </c>
      <c r="W4" s="667">
        <v>22</v>
      </c>
      <c r="X4" s="667">
        <v>23</v>
      </c>
      <c r="Y4" s="667">
        <v>24</v>
      </c>
      <c r="Z4" s="2099"/>
    </row>
    <row r="5" spans="1:27" s="1318" customFormat="1" ht="19.5" customHeight="1">
      <c r="A5" s="2154" t="s">
        <v>2349</v>
      </c>
      <c r="B5" s="2154"/>
      <c r="C5" s="2154"/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237"/>
    </row>
    <row r="6" spans="1:27" ht="17.100000000000001" customHeight="1">
      <c r="A6" s="438" t="s">
        <v>1299</v>
      </c>
      <c r="B6" s="322">
        <v>279505</v>
      </c>
      <c r="C6" s="322">
        <v>33052</v>
      </c>
      <c r="D6" s="322">
        <v>422387</v>
      </c>
      <c r="E6" s="322">
        <v>24555</v>
      </c>
      <c r="F6" s="322">
        <v>2103</v>
      </c>
      <c r="G6" s="322">
        <v>162843</v>
      </c>
      <c r="H6" s="322">
        <v>288510</v>
      </c>
      <c r="I6" s="322">
        <v>158030</v>
      </c>
      <c r="J6" s="322">
        <v>23886</v>
      </c>
      <c r="K6" s="322">
        <v>24833</v>
      </c>
      <c r="L6" s="322">
        <v>65072</v>
      </c>
      <c r="M6" s="322">
        <v>192509</v>
      </c>
      <c r="N6" s="322">
        <v>3906</v>
      </c>
      <c r="O6" s="322">
        <v>14244</v>
      </c>
      <c r="P6" s="322">
        <v>66730</v>
      </c>
      <c r="Q6" s="322">
        <v>54479</v>
      </c>
      <c r="R6" s="322">
        <v>54600</v>
      </c>
      <c r="S6" s="322">
        <v>3007</v>
      </c>
      <c r="T6" s="322">
        <v>113176</v>
      </c>
      <c r="U6" s="322">
        <f>SUM(B6:T6)</f>
        <v>1987427</v>
      </c>
      <c r="V6" s="322">
        <v>88394</v>
      </c>
      <c r="W6" s="322">
        <f>U6+V6</f>
        <v>2075821</v>
      </c>
      <c r="X6" s="322">
        <v>97254</v>
      </c>
      <c r="Y6" s="322">
        <f>W6+X6</f>
        <v>2173075</v>
      </c>
      <c r="Z6" s="385" t="s">
        <v>1299</v>
      </c>
    </row>
    <row r="7" spans="1:27" s="177" customFormat="1" ht="17.100000000000001" customHeight="1">
      <c r="A7" s="424"/>
      <c r="B7" s="1319">
        <f t="shared" ref="B7:W7" si="0">(B6/$W6)*100</f>
        <v>13.464792966252869</v>
      </c>
      <c r="C7" s="1319">
        <f t="shared" si="0"/>
        <v>1.592237480977406</v>
      </c>
      <c r="D7" s="1319">
        <f t="shared" si="0"/>
        <v>20.347949076534057</v>
      </c>
      <c r="E7" s="1319">
        <f t="shared" si="0"/>
        <v>1.1829054624652124</v>
      </c>
      <c r="F7" s="1319">
        <f t="shared" si="0"/>
        <v>0.10130931327893879</v>
      </c>
      <c r="G7" s="1319">
        <f t="shared" si="0"/>
        <v>7.8447515464965427</v>
      </c>
      <c r="H7" s="1319">
        <f t="shared" si="0"/>
        <v>13.898597229722601</v>
      </c>
      <c r="I7" s="1319">
        <f t="shared" si="0"/>
        <v>7.6128914776370404</v>
      </c>
      <c r="J7" s="1319">
        <f t="shared" si="0"/>
        <v>1.1506772501097158</v>
      </c>
      <c r="K7" s="1319">
        <f t="shared" si="0"/>
        <v>1.1962977539970931</v>
      </c>
      <c r="L7" s="1319">
        <f t="shared" si="0"/>
        <v>3.1347596926709964</v>
      </c>
      <c r="M7" s="1319">
        <f t="shared" si="0"/>
        <v>9.2738728435640638</v>
      </c>
      <c r="N7" s="1319">
        <f t="shared" si="0"/>
        <v>0.18816651339397761</v>
      </c>
      <c r="O7" s="1319">
        <f t="shared" si="0"/>
        <v>0.68618633302197063</v>
      </c>
      <c r="P7" s="1319">
        <f t="shared" si="0"/>
        <v>3.2146317047568167</v>
      </c>
      <c r="Q7" s="1319">
        <f t="shared" si="0"/>
        <v>2.6244555768536881</v>
      </c>
      <c r="R7" s="1319">
        <f>(R6/$W6)*100</f>
        <v>2.6302845958297945</v>
      </c>
      <c r="S7" s="1319">
        <f>(S6/$W6)*100</f>
        <v>0.14485834761282404</v>
      </c>
      <c r="T7" s="1319">
        <f t="shared" si="0"/>
        <v>5.4521078647918104</v>
      </c>
      <c r="U7" s="1319">
        <f t="shared" si="0"/>
        <v>95.741733029967421</v>
      </c>
      <c r="V7" s="1319">
        <f t="shared" si="0"/>
        <v>4.2582669700325804</v>
      </c>
      <c r="W7" s="1319">
        <f t="shared" si="0"/>
        <v>100</v>
      </c>
      <c r="X7" s="280"/>
      <c r="Y7" s="280"/>
      <c r="Z7" s="419"/>
    </row>
    <row r="8" spans="1:27" ht="17.100000000000001" customHeight="1">
      <c r="A8" s="438" t="s">
        <v>1332</v>
      </c>
      <c r="B8" s="322">
        <v>301167</v>
      </c>
      <c r="C8" s="322">
        <v>39984</v>
      </c>
      <c r="D8" s="322">
        <v>466606</v>
      </c>
      <c r="E8" s="322">
        <v>29234</v>
      </c>
      <c r="F8" s="322">
        <v>2263</v>
      </c>
      <c r="G8" s="322">
        <v>188219</v>
      </c>
      <c r="H8" s="322">
        <v>324632</v>
      </c>
      <c r="I8" s="322">
        <v>178722</v>
      </c>
      <c r="J8" s="322">
        <v>26670</v>
      </c>
      <c r="K8" s="322">
        <v>27264</v>
      </c>
      <c r="L8" s="322">
        <v>72247</v>
      </c>
      <c r="M8" s="322">
        <v>214151</v>
      </c>
      <c r="N8" s="322">
        <v>4282</v>
      </c>
      <c r="O8" s="322">
        <v>15722</v>
      </c>
      <c r="P8" s="322">
        <v>78463</v>
      </c>
      <c r="Q8" s="322">
        <v>60858</v>
      </c>
      <c r="R8" s="322">
        <v>63515</v>
      </c>
      <c r="S8" s="322">
        <v>3365</v>
      </c>
      <c r="T8" s="322">
        <v>124429</v>
      </c>
      <c r="U8" s="322">
        <f>SUM(B8:T8)</f>
        <v>2221793</v>
      </c>
      <c r="V8" s="322">
        <v>102514</v>
      </c>
      <c r="W8" s="322">
        <f>U8+V8</f>
        <v>2324307</v>
      </c>
      <c r="X8" s="322">
        <v>80250</v>
      </c>
      <c r="Y8" s="322">
        <f>W8+X8</f>
        <v>2404557</v>
      </c>
      <c r="Z8" s="385" t="s">
        <v>1332</v>
      </c>
    </row>
    <row r="9" spans="1:27" s="177" customFormat="1" ht="17.100000000000001" customHeight="1">
      <c r="A9" s="424"/>
      <c r="B9" s="1319">
        <f t="shared" ref="B9:W9" si="1">(B8/$W8)*100</f>
        <v>12.95728146066763</v>
      </c>
      <c r="C9" s="1319">
        <f t="shared" si="1"/>
        <v>1.7202546823633882</v>
      </c>
      <c r="D9" s="1319">
        <f t="shared" si="1"/>
        <v>20.075058931543897</v>
      </c>
      <c r="E9" s="1319">
        <f t="shared" si="1"/>
        <v>1.2577512350993221</v>
      </c>
      <c r="F9" s="1319">
        <f t="shared" si="1"/>
        <v>9.7362353596147158E-2</v>
      </c>
      <c r="G9" s="1319">
        <f t="shared" si="1"/>
        <v>8.0978545433111897</v>
      </c>
      <c r="H9" s="1319">
        <f t="shared" si="1"/>
        <v>13.966829682997986</v>
      </c>
      <c r="I9" s="1319">
        <f t="shared" si="1"/>
        <v>7.6892596373886928</v>
      </c>
      <c r="J9" s="1319">
        <f t="shared" si="1"/>
        <v>1.1474387849797811</v>
      </c>
      <c r="K9" s="1319">
        <f t="shared" si="1"/>
        <v>1.1729947894146513</v>
      </c>
      <c r="L9" s="1319">
        <f t="shared" si="1"/>
        <v>3.1083243306499528</v>
      </c>
      <c r="M9" s="1319">
        <f t="shared" si="1"/>
        <v>9.2135419288415861</v>
      </c>
      <c r="N9" s="1319">
        <f t="shared" si="1"/>
        <v>0.18422695452881224</v>
      </c>
      <c r="O9" s="1319">
        <f t="shared" si="1"/>
        <v>0.67641666957075808</v>
      </c>
      <c r="P9" s="1319">
        <f t="shared" si="1"/>
        <v>3.3757588821098077</v>
      </c>
      <c r="Q9" s="1319">
        <f t="shared" si="1"/>
        <v>2.6183288180089805</v>
      </c>
      <c r="R9" s="1319">
        <f t="shared" si="1"/>
        <v>2.7326424607420621</v>
      </c>
      <c r="S9" s="1319">
        <f t="shared" si="1"/>
        <v>0.14477433488777516</v>
      </c>
      <c r="T9" s="1319">
        <f t="shared" si="1"/>
        <v>5.3533805990344652</v>
      </c>
      <c r="U9" s="1319">
        <f t="shared" si="1"/>
        <v>95.589481079736885</v>
      </c>
      <c r="V9" s="1319">
        <f t="shared" si="1"/>
        <v>4.4105189202631152</v>
      </c>
      <c r="W9" s="1319">
        <f t="shared" si="1"/>
        <v>100</v>
      </c>
      <c r="X9" s="280"/>
      <c r="Y9" s="280"/>
      <c r="Z9" s="419"/>
    </row>
    <row r="10" spans="1:27" ht="17.100000000000001" customHeight="1">
      <c r="A10" s="438" t="s">
        <v>1471</v>
      </c>
      <c r="B10" s="322">
        <v>329380</v>
      </c>
      <c r="C10" s="322">
        <v>44276</v>
      </c>
      <c r="D10" s="322">
        <v>549024</v>
      </c>
      <c r="E10" s="322">
        <v>32625</v>
      </c>
      <c r="F10" s="322">
        <v>2487</v>
      </c>
      <c r="G10" s="322">
        <v>215693</v>
      </c>
      <c r="H10" s="322">
        <v>373716</v>
      </c>
      <c r="I10" s="324">
        <v>197806</v>
      </c>
      <c r="J10" s="322">
        <v>30106</v>
      </c>
      <c r="K10" s="322">
        <v>29460</v>
      </c>
      <c r="L10" s="322">
        <v>81724</v>
      </c>
      <c r="M10" s="322">
        <v>235990</v>
      </c>
      <c r="N10" s="322">
        <v>4714</v>
      </c>
      <c r="O10" s="322">
        <v>17269</v>
      </c>
      <c r="P10" s="322">
        <v>90249</v>
      </c>
      <c r="Q10" s="322">
        <v>68164</v>
      </c>
      <c r="R10" s="322">
        <v>73365</v>
      </c>
      <c r="S10" s="322">
        <v>3772</v>
      </c>
      <c r="T10" s="322">
        <v>136783</v>
      </c>
      <c r="U10" s="322">
        <f>SUM(B10:T10)</f>
        <v>2516603</v>
      </c>
      <c r="V10" s="322">
        <v>122645</v>
      </c>
      <c r="W10" s="322">
        <f>U10+V10</f>
        <v>2639248</v>
      </c>
      <c r="X10" s="322">
        <v>105543</v>
      </c>
      <c r="Y10" s="322">
        <f>W10+X10</f>
        <v>2744791</v>
      </c>
      <c r="Z10" s="385" t="s">
        <v>1471</v>
      </c>
    </row>
    <row r="11" spans="1:27" s="177" customFormat="1" ht="17.100000000000001" customHeight="1">
      <c r="A11" s="424"/>
      <c r="B11" s="1319">
        <f t="shared" ref="B11:W11" si="2">(B10/$W10)*100</f>
        <v>12.480070080568405</v>
      </c>
      <c r="C11" s="1319">
        <f t="shared" si="2"/>
        <v>1.6775990736755317</v>
      </c>
      <c r="D11" s="1319">
        <f t="shared" si="2"/>
        <v>20.802289136905664</v>
      </c>
      <c r="E11" s="1319">
        <f t="shared" si="2"/>
        <v>1.2361475693076209</v>
      </c>
      <c r="F11" s="1319">
        <f t="shared" si="2"/>
        <v>9.4231387122392429E-2</v>
      </c>
      <c r="G11" s="1319">
        <f t="shared" si="2"/>
        <v>8.1725173231162813</v>
      </c>
      <c r="H11" s="1319">
        <f t="shared" si="2"/>
        <v>14.159942529084041</v>
      </c>
      <c r="I11" s="1319">
        <f t="shared" si="2"/>
        <v>7.4947863937000232</v>
      </c>
      <c r="J11" s="1319">
        <f t="shared" si="2"/>
        <v>1.1407037156038387</v>
      </c>
      <c r="K11" s="1319">
        <f t="shared" si="2"/>
        <v>1.116227046492031</v>
      </c>
      <c r="L11" s="1319">
        <f t="shared" si="2"/>
        <v>3.0964880905470045</v>
      </c>
      <c r="M11" s="1319">
        <f t="shared" si="2"/>
        <v>8.9415621419434625</v>
      </c>
      <c r="N11" s="1319">
        <f t="shared" si="2"/>
        <v>0.17861148327099235</v>
      </c>
      <c r="O11" s="1319">
        <f t="shared" si="2"/>
        <v>0.65431516856316652</v>
      </c>
      <c r="P11" s="1319">
        <f t="shared" si="2"/>
        <v>3.4194967657453939</v>
      </c>
      <c r="Q11" s="1319">
        <f t="shared" si="2"/>
        <v>2.5827053766830552</v>
      </c>
      <c r="R11" s="1319">
        <f t="shared" si="2"/>
        <v>2.7797690857395745</v>
      </c>
      <c r="S11" s="1319">
        <f t="shared" si="2"/>
        <v>0.14291949828132863</v>
      </c>
      <c r="T11" s="1319">
        <f t="shared" si="2"/>
        <v>5.1826505125702473</v>
      </c>
      <c r="U11" s="1319">
        <f t="shared" si="2"/>
        <v>95.353032378920062</v>
      </c>
      <c r="V11" s="1319">
        <f t="shared" si="2"/>
        <v>4.646967621079944</v>
      </c>
      <c r="W11" s="1319">
        <f t="shared" si="2"/>
        <v>100</v>
      </c>
      <c r="X11" s="280"/>
      <c r="Y11" s="280"/>
      <c r="Z11" s="419"/>
    </row>
    <row r="12" spans="1:27" ht="17.100000000000001" customHeight="1">
      <c r="A12" s="438" t="s">
        <v>1600</v>
      </c>
      <c r="B12" s="322">
        <v>353443</v>
      </c>
      <c r="C12" s="322">
        <v>52609</v>
      </c>
      <c r="D12" s="322">
        <v>625937</v>
      </c>
      <c r="E12" s="322">
        <v>38144</v>
      </c>
      <c r="F12" s="322">
        <v>2674</v>
      </c>
      <c r="G12" s="322">
        <v>250255</v>
      </c>
      <c r="H12" s="322">
        <v>418395</v>
      </c>
      <c r="I12" s="322">
        <v>219712</v>
      </c>
      <c r="J12" s="324">
        <v>33550</v>
      </c>
      <c r="K12" s="322">
        <v>32204</v>
      </c>
      <c r="L12" s="322">
        <v>93297</v>
      </c>
      <c r="M12" s="322">
        <v>260715</v>
      </c>
      <c r="N12" s="322">
        <v>5179</v>
      </c>
      <c r="O12" s="322">
        <v>20017</v>
      </c>
      <c r="P12" s="322">
        <v>99006</v>
      </c>
      <c r="Q12" s="322">
        <v>76961</v>
      </c>
      <c r="R12" s="322">
        <v>86811</v>
      </c>
      <c r="S12" s="322">
        <v>4244</v>
      </c>
      <c r="T12" s="322">
        <v>150690</v>
      </c>
      <c r="U12" s="322">
        <f>SUM(B12:T12)</f>
        <v>2823843</v>
      </c>
      <c r="V12" s="322">
        <v>127586</v>
      </c>
      <c r="W12" s="322">
        <f>U12+V12</f>
        <v>2951429</v>
      </c>
      <c r="X12" s="322">
        <v>120895</v>
      </c>
      <c r="Y12" s="322">
        <f>W12+X12</f>
        <v>3072324</v>
      </c>
      <c r="Z12" s="385" t="s">
        <v>1600</v>
      </c>
    </row>
    <row r="13" spans="1:27" s="177" customFormat="1" ht="17.100000000000001" customHeight="1">
      <c r="A13" s="424"/>
      <c r="B13" s="1319">
        <f t="shared" ref="B13:W13" si="3">(B12/$W12)*100</f>
        <v>11.975317718976129</v>
      </c>
      <c r="C13" s="1319">
        <f t="shared" si="3"/>
        <v>1.7824924807610145</v>
      </c>
      <c r="D13" s="1319">
        <f t="shared" si="3"/>
        <v>21.20793012469553</v>
      </c>
      <c r="E13" s="1319">
        <f t="shared" si="3"/>
        <v>1.2923909062355896</v>
      </c>
      <c r="F13" s="1319">
        <f t="shared" si="3"/>
        <v>9.0600180454959281E-2</v>
      </c>
      <c r="G13" s="1319">
        <f t="shared" si="3"/>
        <v>8.4791129991607459</v>
      </c>
      <c r="H13" s="1319">
        <f t="shared" si="3"/>
        <v>14.176014398449022</v>
      </c>
      <c r="I13" s="1319">
        <f t="shared" si="3"/>
        <v>7.4442583575617105</v>
      </c>
      <c r="J13" s="1319">
        <f t="shared" si="3"/>
        <v>1.1367374922452818</v>
      </c>
      <c r="K13" s="1319">
        <f t="shared" si="3"/>
        <v>1.0911324649856053</v>
      </c>
      <c r="L13" s="1319">
        <f t="shared" si="3"/>
        <v>3.1610789214309412</v>
      </c>
      <c r="M13" s="1319">
        <f t="shared" si="3"/>
        <v>8.8335175943585291</v>
      </c>
      <c r="N13" s="1319">
        <f t="shared" si="3"/>
        <v>0.17547432108310923</v>
      </c>
      <c r="O13" s="1319">
        <f t="shared" si="3"/>
        <v>0.67821384149847408</v>
      </c>
      <c r="P13" s="1319">
        <f t="shared" si="3"/>
        <v>3.3545106455212035</v>
      </c>
      <c r="Q13" s="1319">
        <f t="shared" si="3"/>
        <v>2.6075843261010179</v>
      </c>
      <c r="R13" s="1319">
        <f t="shared" si="3"/>
        <v>2.9413209668943416</v>
      </c>
      <c r="S13" s="1319">
        <f t="shared" si="3"/>
        <v>0.14379475162709318</v>
      </c>
      <c r="T13" s="1319">
        <f t="shared" si="3"/>
        <v>5.1056623757508648</v>
      </c>
      <c r="U13" s="1319">
        <f t="shared" si="3"/>
        <v>95.677144867791171</v>
      </c>
      <c r="V13" s="1319">
        <f t="shared" si="3"/>
        <v>4.3228551322088391</v>
      </c>
      <c r="W13" s="1319">
        <f t="shared" si="3"/>
        <v>100</v>
      </c>
      <c r="X13" s="280"/>
      <c r="Y13" s="280"/>
      <c r="Z13" s="419"/>
    </row>
    <row r="14" spans="1:27" ht="17.100000000000001" customHeight="1">
      <c r="A14" s="438" t="s">
        <v>1695</v>
      </c>
      <c r="B14" s="322">
        <v>380446</v>
      </c>
      <c r="C14" s="322">
        <v>55224</v>
      </c>
      <c r="D14" s="322">
        <v>653064</v>
      </c>
      <c r="E14" s="322">
        <v>44523</v>
      </c>
      <c r="F14" s="322">
        <v>2761</v>
      </c>
      <c r="G14" s="322">
        <v>287880</v>
      </c>
      <c r="H14" s="322">
        <v>445757</v>
      </c>
      <c r="I14" s="322">
        <v>232252</v>
      </c>
      <c r="J14" s="322">
        <v>36015</v>
      </c>
      <c r="K14" s="322">
        <v>35107</v>
      </c>
      <c r="L14" s="322">
        <v>103217</v>
      </c>
      <c r="M14" s="322">
        <v>288001</v>
      </c>
      <c r="N14" s="322">
        <v>5656</v>
      </c>
      <c r="O14" s="322">
        <v>23005</v>
      </c>
      <c r="P14" s="322">
        <v>106965</v>
      </c>
      <c r="Q14" s="322">
        <v>85643</v>
      </c>
      <c r="R14" s="322">
        <v>101522</v>
      </c>
      <c r="S14" s="322">
        <v>4761</v>
      </c>
      <c r="T14" s="322">
        <v>165249</v>
      </c>
      <c r="U14" s="322">
        <f>SUM(B14:T14)</f>
        <v>3057048</v>
      </c>
      <c r="V14" s="322">
        <v>113421</v>
      </c>
      <c r="W14" s="322">
        <f>U14+V14</f>
        <v>3170469</v>
      </c>
      <c r="X14" s="322">
        <v>131232</v>
      </c>
      <c r="Y14" s="322">
        <f>W14+X14</f>
        <v>3301701</v>
      </c>
      <c r="Z14" s="385" t="s">
        <v>1695</v>
      </c>
    </row>
    <row r="15" spans="1:27" s="177" customFormat="1" ht="17.100000000000001" customHeight="1">
      <c r="A15" s="424"/>
      <c r="B15" s="1319">
        <f t="shared" ref="B15:W15" si="4">(B14/$W14)*100</f>
        <v>11.999675757750667</v>
      </c>
      <c r="C15" s="1319">
        <f t="shared" si="4"/>
        <v>1.7418243168439749</v>
      </c>
      <c r="D15" s="1319">
        <f t="shared" si="4"/>
        <v>20.598340497888483</v>
      </c>
      <c r="E15" s="1319">
        <f t="shared" si="4"/>
        <v>1.4043032750044238</v>
      </c>
      <c r="F15" s="1319">
        <f t="shared" si="4"/>
        <v>8.7084907627231173E-2</v>
      </c>
      <c r="G15" s="1319">
        <f t="shared" si="4"/>
        <v>9.0800446243126807</v>
      </c>
      <c r="H15" s="1319">
        <f t="shared" si="4"/>
        <v>14.059654896483769</v>
      </c>
      <c r="I15" s="1319">
        <f t="shared" si="4"/>
        <v>7.3254777132342257</v>
      </c>
      <c r="J15" s="1319">
        <f t="shared" si="4"/>
        <v>1.1359518102842197</v>
      </c>
      <c r="K15" s="1319">
        <f t="shared" si="4"/>
        <v>1.1073125143314759</v>
      </c>
      <c r="L15" s="1319">
        <f t="shared" si="4"/>
        <v>3.2555751215356468</v>
      </c>
      <c r="M15" s="1319">
        <f t="shared" si="4"/>
        <v>9.0838610943680571</v>
      </c>
      <c r="N15" s="1319">
        <f t="shared" si="4"/>
        <v>0.17839631928273073</v>
      </c>
      <c r="O15" s="1319">
        <f t="shared" si="4"/>
        <v>0.72560242664413377</v>
      </c>
      <c r="P15" s="1319">
        <f t="shared" si="4"/>
        <v>3.3737910700278095</v>
      </c>
      <c r="Q15" s="1319">
        <f t="shared" si="4"/>
        <v>2.701272272335733</v>
      </c>
      <c r="R15" s="1319">
        <f t="shared" si="4"/>
        <v>3.2021129996855358</v>
      </c>
      <c r="S15" s="1319">
        <f t="shared" si="4"/>
        <v>0.15016705730287852</v>
      </c>
      <c r="T15" s="1319">
        <f t="shared" si="4"/>
        <v>5.2121310758755248</v>
      </c>
      <c r="U15" s="1319">
        <f t="shared" si="4"/>
        <v>96.42257975081921</v>
      </c>
      <c r="V15" s="1319">
        <f t="shared" si="4"/>
        <v>3.5774202491807996</v>
      </c>
      <c r="W15" s="1319">
        <f t="shared" si="4"/>
        <v>100</v>
      </c>
      <c r="X15" s="280"/>
      <c r="Y15" s="280"/>
      <c r="Z15" s="419"/>
    </row>
    <row r="16" spans="1:27" ht="17.100000000000001" customHeight="1">
      <c r="A16" s="438" t="s">
        <v>1764</v>
      </c>
      <c r="B16" s="324">
        <v>410661</v>
      </c>
      <c r="C16" s="324">
        <v>59102</v>
      </c>
      <c r="D16" s="324">
        <v>749659</v>
      </c>
      <c r="E16" s="324">
        <v>44902</v>
      </c>
      <c r="F16" s="324">
        <v>2968</v>
      </c>
      <c r="G16" s="324">
        <v>319490</v>
      </c>
      <c r="H16" s="324">
        <v>497652</v>
      </c>
      <c r="I16" s="324">
        <v>256215</v>
      </c>
      <c r="J16" s="324">
        <v>39857</v>
      </c>
      <c r="K16" s="324">
        <v>38448</v>
      </c>
      <c r="L16" s="324">
        <v>115271</v>
      </c>
      <c r="M16" s="324">
        <v>313028</v>
      </c>
      <c r="N16" s="324">
        <v>6273</v>
      </c>
      <c r="O16" s="324">
        <v>27138</v>
      </c>
      <c r="P16" s="324">
        <v>116996</v>
      </c>
      <c r="Q16" s="324">
        <v>95642</v>
      </c>
      <c r="R16" s="324">
        <v>118500</v>
      </c>
      <c r="S16" s="324">
        <v>5341</v>
      </c>
      <c r="T16" s="324">
        <v>180676</v>
      </c>
      <c r="U16" s="322">
        <f>SUM(B16:T16)</f>
        <v>3397819</v>
      </c>
      <c r="V16" s="324">
        <v>132366</v>
      </c>
      <c r="W16" s="322">
        <f>U16+V16</f>
        <v>3530185</v>
      </c>
      <c r="X16" s="324">
        <v>185812</v>
      </c>
      <c r="Y16" s="322">
        <f>W16+X16</f>
        <v>3715997</v>
      </c>
      <c r="Z16" s="385" t="s">
        <v>1764</v>
      </c>
    </row>
    <row r="17" spans="1:26" s="177" customFormat="1" ht="17.100000000000001" customHeight="1">
      <c r="A17" s="424"/>
      <c r="B17" s="1319">
        <f t="shared" ref="B17:W19" si="5">(B16/$W16)*100</f>
        <v>11.632846437226378</v>
      </c>
      <c r="C17" s="1319">
        <f t="shared" si="5"/>
        <v>1.6741898795672183</v>
      </c>
      <c r="D17" s="1319">
        <f t="shared" si="5"/>
        <v>21.235685948470124</v>
      </c>
      <c r="E17" s="1319">
        <f t="shared" si="5"/>
        <v>1.2719446714548954</v>
      </c>
      <c r="F17" s="1319">
        <f t="shared" si="5"/>
        <v>8.4074913920941824E-2</v>
      </c>
      <c r="G17" s="1319">
        <f t="shared" si="5"/>
        <v>9.0502339112539421</v>
      </c>
      <c r="H17" s="1319">
        <f t="shared" si="5"/>
        <v>14.097051570951663</v>
      </c>
      <c r="I17" s="1319">
        <f t="shared" si="5"/>
        <v>7.2578349293308992</v>
      </c>
      <c r="J17" s="1319">
        <f t="shared" si="5"/>
        <v>1.1290343140656933</v>
      </c>
      <c r="K17" s="1319">
        <f t="shared" si="5"/>
        <v>1.0891213916551115</v>
      </c>
      <c r="L17" s="1319">
        <f t="shared" si="5"/>
        <v>3.2652962946701094</v>
      </c>
      <c r="M17" s="1319">
        <f t="shared" si="5"/>
        <v>8.8671840144355052</v>
      </c>
      <c r="N17" s="1319">
        <f t="shared" si="5"/>
        <v>0.17769606975271834</v>
      </c>
      <c r="O17" s="1319">
        <f t="shared" si="5"/>
        <v>0.76874158153184602</v>
      </c>
      <c r="P17" s="1319">
        <f t="shared" si="5"/>
        <v>3.3141605893175572</v>
      </c>
      <c r="Q17" s="1319">
        <f t="shared" si="5"/>
        <v>2.709263112273153</v>
      </c>
      <c r="R17" s="1319">
        <f t="shared" si="5"/>
        <v>3.3567645888246651</v>
      </c>
      <c r="S17" s="1319">
        <f t="shared" si="5"/>
        <v>0.15129518707943068</v>
      </c>
      <c r="T17" s="1319">
        <f t="shared" si="5"/>
        <v>5.1180320578100016</v>
      </c>
      <c r="U17" s="1319">
        <f t="shared" si="5"/>
        <v>96.250451463591844</v>
      </c>
      <c r="V17" s="1319">
        <f t="shared" si="5"/>
        <v>3.7495485364081489</v>
      </c>
      <c r="W17" s="1319">
        <f t="shared" si="5"/>
        <v>100</v>
      </c>
      <c r="X17" s="280"/>
      <c r="Y17" s="280"/>
      <c r="Z17" s="419"/>
    </row>
    <row r="18" spans="1:26" s="177" customFormat="1" ht="17.100000000000001" customHeight="1">
      <c r="A18" s="438" t="s">
        <v>2437</v>
      </c>
      <c r="B18" s="324">
        <v>439835</v>
      </c>
      <c r="C18" s="324">
        <v>58186</v>
      </c>
      <c r="D18" s="324">
        <v>876662</v>
      </c>
      <c r="E18" s="324">
        <v>48598</v>
      </c>
      <c r="F18" s="324">
        <v>3410</v>
      </c>
      <c r="G18" s="324">
        <v>367257</v>
      </c>
      <c r="H18" s="324">
        <v>572473</v>
      </c>
      <c r="I18" s="324">
        <v>284986</v>
      </c>
      <c r="J18" s="324">
        <v>44291</v>
      </c>
      <c r="K18" s="324">
        <v>41807</v>
      </c>
      <c r="L18" s="324">
        <v>130540</v>
      </c>
      <c r="M18" s="324">
        <v>335147</v>
      </c>
      <c r="N18" s="324">
        <v>6935</v>
      </c>
      <c r="O18" s="324">
        <v>30830</v>
      </c>
      <c r="P18" s="324">
        <v>127665</v>
      </c>
      <c r="Q18" s="324">
        <v>107586</v>
      </c>
      <c r="R18" s="324">
        <v>136910</v>
      </c>
      <c r="S18" s="324">
        <v>6027</v>
      </c>
      <c r="T18" s="324">
        <v>198352</v>
      </c>
      <c r="U18" s="322">
        <f>SUM(B18:T18)</f>
        <v>3817497</v>
      </c>
      <c r="V18" s="322">
        <v>158965</v>
      </c>
      <c r="W18" s="322">
        <f>U18+V18</f>
        <v>3976462</v>
      </c>
      <c r="X18" s="322">
        <v>147608.9</v>
      </c>
      <c r="Y18" s="322">
        <f>W18+X18</f>
        <v>4124070.9</v>
      </c>
      <c r="Z18" s="385" t="s">
        <v>2437</v>
      </c>
    </row>
    <row r="19" spans="1:26" s="177" customFormat="1" ht="17.100000000000001" customHeight="1">
      <c r="A19" s="424"/>
      <c r="B19" s="1319">
        <f t="shared" si="5"/>
        <v>11.060963238175042</v>
      </c>
      <c r="C19" s="1319">
        <f t="shared" si="5"/>
        <v>1.4632605567461729</v>
      </c>
      <c r="D19" s="1319">
        <f t="shared" si="5"/>
        <v>22.046281342560295</v>
      </c>
      <c r="E19" s="1319">
        <f t="shared" si="5"/>
        <v>1.2221416927912299</v>
      </c>
      <c r="F19" s="1319">
        <f t="shared" si="5"/>
        <v>8.5754623079511386E-2</v>
      </c>
      <c r="G19" s="1319">
        <f t="shared" si="5"/>
        <v>9.2357729056633762</v>
      </c>
      <c r="H19" s="1319">
        <f t="shared" si="5"/>
        <v>14.396541448151648</v>
      </c>
      <c r="I19" s="1319">
        <f t="shared" si="5"/>
        <v>7.1668231709494519</v>
      </c>
      <c r="J19" s="1319">
        <f t="shared" si="5"/>
        <v>1.1138293286846448</v>
      </c>
      <c r="K19" s="1319">
        <f t="shared" si="5"/>
        <v>1.0513617381481326</v>
      </c>
      <c r="L19" s="1319">
        <f t="shared" si="5"/>
        <v>3.2828177409968964</v>
      </c>
      <c r="M19" s="1319">
        <f t="shared" si="5"/>
        <v>8.4282711616507342</v>
      </c>
      <c r="N19" s="1319">
        <f t="shared" si="5"/>
        <v>0.17440126423941685</v>
      </c>
      <c r="O19" s="1319">
        <f t="shared" si="5"/>
        <v>0.77531232537869088</v>
      </c>
      <c r="P19" s="1319">
        <f t="shared" si="5"/>
        <v>3.2105172889870444</v>
      </c>
      <c r="Q19" s="1319">
        <f t="shared" si="5"/>
        <v>2.7055709321502381</v>
      </c>
      <c r="R19" s="1319">
        <f t="shared" si="5"/>
        <v>3.4430103946674202</v>
      </c>
      <c r="S19" s="1319">
        <f t="shared" si="5"/>
        <v>0.15156689539595752</v>
      </c>
      <c r="T19" s="1319">
        <f t="shared" si="5"/>
        <v>4.9881527850637077</v>
      </c>
      <c r="U19" s="1319">
        <f t="shared" si="5"/>
        <v>96.002350833479611</v>
      </c>
      <c r="V19" s="1319">
        <f t="shared" si="5"/>
        <v>3.9976491665203895</v>
      </c>
      <c r="W19" s="1319">
        <f>(W18/$W18)*100</f>
        <v>100</v>
      </c>
      <c r="X19" s="280"/>
      <c r="Y19" s="280"/>
      <c r="Z19" s="419"/>
    </row>
    <row r="20" spans="1:26" ht="17.100000000000001" customHeight="1">
      <c r="A20" s="1302" t="s">
        <v>2350</v>
      </c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666"/>
      <c r="T20" s="666"/>
      <c r="U20" s="666"/>
      <c r="V20" s="666"/>
      <c r="W20" s="666"/>
      <c r="X20" s="322"/>
      <c r="Y20" s="322"/>
      <c r="Z20" s="385"/>
    </row>
    <row r="21" spans="1:26" s="177" customFormat="1" ht="17.100000000000001" customHeight="1">
      <c r="A21" s="424" t="s">
        <v>1299</v>
      </c>
      <c r="B21" s="280">
        <v>279505</v>
      </c>
      <c r="C21" s="280">
        <v>33052</v>
      </c>
      <c r="D21" s="280">
        <v>422387</v>
      </c>
      <c r="E21" s="280">
        <v>24555</v>
      </c>
      <c r="F21" s="280">
        <v>2103</v>
      </c>
      <c r="G21" s="280">
        <v>162843</v>
      </c>
      <c r="H21" s="280">
        <v>288510</v>
      </c>
      <c r="I21" s="280">
        <v>158030</v>
      </c>
      <c r="J21" s="280">
        <v>23886</v>
      </c>
      <c r="K21" s="280">
        <v>24833</v>
      </c>
      <c r="L21" s="280">
        <v>65072</v>
      </c>
      <c r="M21" s="280">
        <v>192509</v>
      </c>
      <c r="N21" s="280">
        <v>3906</v>
      </c>
      <c r="O21" s="280">
        <v>14244</v>
      </c>
      <c r="P21" s="280">
        <v>66730</v>
      </c>
      <c r="Q21" s="280">
        <v>54479</v>
      </c>
      <c r="R21" s="280">
        <v>54600</v>
      </c>
      <c r="S21" s="280">
        <v>3007</v>
      </c>
      <c r="T21" s="280">
        <v>113176</v>
      </c>
      <c r="U21" s="280">
        <f>SUM(B21:T21)</f>
        <v>1987427</v>
      </c>
      <c r="V21" s="280">
        <v>88394</v>
      </c>
      <c r="W21" s="280">
        <f>U21+V21</f>
        <v>2075821</v>
      </c>
      <c r="X21" s="280">
        <v>97254</v>
      </c>
      <c r="Y21" s="280">
        <f>W21+X21</f>
        <v>2173075</v>
      </c>
      <c r="Z21" s="419" t="s">
        <v>1299</v>
      </c>
    </row>
    <row r="22" spans="1:26" ht="17.100000000000001" customHeight="1">
      <c r="A22" s="438"/>
      <c r="B22" s="666">
        <f t="shared" ref="B22:W22" si="6">(B21/$W21)*100</f>
        <v>13.464792966252869</v>
      </c>
      <c r="C22" s="666">
        <f t="shared" si="6"/>
        <v>1.592237480977406</v>
      </c>
      <c r="D22" s="666">
        <f t="shared" si="6"/>
        <v>20.347949076534057</v>
      </c>
      <c r="E22" s="666">
        <f t="shared" si="6"/>
        <v>1.1829054624652124</v>
      </c>
      <c r="F22" s="666">
        <f t="shared" si="6"/>
        <v>0.10130931327893879</v>
      </c>
      <c r="G22" s="666">
        <f t="shared" si="6"/>
        <v>7.8447515464965427</v>
      </c>
      <c r="H22" s="666">
        <f t="shared" si="6"/>
        <v>13.898597229722601</v>
      </c>
      <c r="I22" s="666">
        <f t="shared" si="6"/>
        <v>7.6128914776370404</v>
      </c>
      <c r="J22" s="666">
        <f t="shared" si="6"/>
        <v>1.1506772501097158</v>
      </c>
      <c r="K22" s="666">
        <f t="shared" si="6"/>
        <v>1.1962977539970931</v>
      </c>
      <c r="L22" s="666">
        <f t="shared" si="6"/>
        <v>3.1347596926709964</v>
      </c>
      <c r="M22" s="666">
        <f t="shared" si="6"/>
        <v>9.2738728435640638</v>
      </c>
      <c r="N22" s="666">
        <f t="shared" si="6"/>
        <v>0.18816651339397761</v>
      </c>
      <c r="O22" s="666">
        <f t="shared" si="6"/>
        <v>0.68618633302197063</v>
      </c>
      <c r="P22" s="666">
        <f t="shared" si="6"/>
        <v>3.2146317047568167</v>
      </c>
      <c r="Q22" s="666">
        <f t="shared" si="6"/>
        <v>2.6244555768536881</v>
      </c>
      <c r="R22" s="666">
        <f>(R21/$W21)*100</f>
        <v>2.6302845958297945</v>
      </c>
      <c r="S22" s="666">
        <f>(S21/$W21)*100</f>
        <v>0.14485834761282404</v>
      </c>
      <c r="T22" s="666">
        <f t="shared" si="6"/>
        <v>5.4521078647918104</v>
      </c>
      <c r="U22" s="666">
        <f t="shared" si="6"/>
        <v>95.741733029967421</v>
      </c>
      <c r="V22" s="666">
        <f t="shared" si="6"/>
        <v>4.2582669700325804</v>
      </c>
      <c r="W22" s="666">
        <f t="shared" si="6"/>
        <v>100</v>
      </c>
      <c r="X22" s="322"/>
      <c r="Y22" s="322"/>
      <c r="Z22" s="385"/>
    </row>
    <row r="23" spans="1:26" s="177" customFormat="1" ht="17.100000000000001" customHeight="1">
      <c r="A23" s="424" t="s">
        <v>1332</v>
      </c>
      <c r="B23" s="280">
        <v>288438</v>
      </c>
      <c r="C23" s="280">
        <v>38766</v>
      </c>
      <c r="D23" s="280">
        <v>452319</v>
      </c>
      <c r="E23" s="280">
        <v>26291</v>
      </c>
      <c r="F23" s="280">
        <v>2180</v>
      </c>
      <c r="G23" s="280">
        <v>178734</v>
      </c>
      <c r="H23" s="280">
        <v>312225</v>
      </c>
      <c r="I23" s="280">
        <v>167710</v>
      </c>
      <c r="J23" s="280">
        <v>25173</v>
      </c>
      <c r="K23" s="280">
        <v>26907</v>
      </c>
      <c r="L23" s="280">
        <v>68524</v>
      </c>
      <c r="M23" s="280">
        <v>198921</v>
      </c>
      <c r="N23" s="280">
        <v>4061</v>
      </c>
      <c r="O23" s="280">
        <v>15155</v>
      </c>
      <c r="P23" s="280">
        <v>74220</v>
      </c>
      <c r="Q23" s="280">
        <v>57722</v>
      </c>
      <c r="R23" s="280">
        <v>60242</v>
      </c>
      <c r="S23" s="280">
        <v>3157</v>
      </c>
      <c r="T23" s="280">
        <v>116731</v>
      </c>
      <c r="U23" s="280">
        <f>SUM(B23:T23)</f>
        <v>2117476</v>
      </c>
      <c r="V23" s="280">
        <v>95147</v>
      </c>
      <c r="W23" s="280">
        <f>U23+V23</f>
        <v>2212623</v>
      </c>
      <c r="X23" s="280">
        <v>76394</v>
      </c>
      <c r="Y23" s="280">
        <f>W23+X23</f>
        <v>2289017</v>
      </c>
      <c r="Z23" s="419" t="s">
        <v>1332</v>
      </c>
    </row>
    <row r="24" spans="1:26" ht="17.100000000000001" customHeight="1">
      <c r="A24" s="438"/>
      <c r="B24" s="666">
        <f t="shared" ref="B24:W24" si="7">(B23/$W23)*100</f>
        <v>13.036021048321381</v>
      </c>
      <c r="C24" s="666">
        <f t="shared" si="7"/>
        <v>1.7520381917751011</v>
      </c>
      <c r="D24" s="666">
        <f t="shared" si="7"/>
        <v>20.442660136860187</v>
      </c>
      <c r="E24" s="666">
        <f t="shared" si="7"/>
        <v>1.1882277279048443</v>
      </c>
      <c r="F24" s="666">
        <f t="shared" si="7"/>
        <v>9.8525596091155146E-2</v>
      </c>
      <c r="G24" s="666">
        <f t="shared" si="7"/>
        <v>8.0779238035580381</v>
      </c>
      <c r="H24" s="666">
        <f t="shared" si="7"/>
        <v>14.111079926404091</v>
      </c>
      <c r="I24" s="666">
        <f t="shared" si="7"/>
        <v>7.5796916148842346</v>
      </c>
      <c r="J24" s="666">
        <f t="shared" si="7"/>
        <v>1.1376994634874535</v>
      </c>
      <c r="K24" s="666">
        <f t="shared" si="7"/>
        <v>1.2160679880847303</v>
      </c>
      <c r="L24" s="666">
        <f t="shared" si="7"/>
        <v>3.0969577736469338</v>
      </c>
      <c r="M24" s="666">
        <f t="shared" si="7"/>
        <v>8.9902798624076485</v>
      </c>
      <c r="N24" s="666">
        <f t="shared" si="7"/>
        <v>0.18353781914045006</v>
      </c>
      <c r="O24" s="666">
        <f t="shared" si="7"/>
        <v>0.68493367374378744</v>
      </c>
      <c r="P24" s="666">
        <f t="shared" si="7"/>
        <v>3.3543897898557504</v>
      </c>
      <c r="Q24" s="666">
        <f t="shared" si="7"/>
        <v>2.6087589254925039</v>
      </c>
      <c r="R24" s="666">
        <f t="shared" si="7"/>
        <v>2.7226508989556737</v>
      </c>
      <c r="S24" s="666">
        <f t="shared" si="7"/>
        <v>0.14268133342191597</v>
      </c>
      <c r="T24" s="666">
        <f t="shared" si="7"/>
        <v>5.2756841088608404</v>
      </c>
      <c r="U24" s="666">
        <f t="shared" si="7"/>
        <v>95.699809682896714</v>
      </c>
      <c r="V24" s="666">
        <f t="shared" si="7"/>
        <v>4.3001903171032749</v>
      </c>
      <c r="W24" s="666">
        <f t="shared" si="7"/>
        <v>100</v>
      </c>
      <c r="X24" s="322"/>
      <c r="Y24" s="322"/>
      <c r="Z24" s="385"/>
    </row>
    <row r="25" spans="1:26" s="177" customFormat="1" ht="17.100000000000001" customHeight="1">
      <c r="A25" s="424" t="s">
        <v>1471</v>
      </c>
      <c r="B25" s="280">
        <v>298662</v>
      </c>
      <c r="C25" s="280">
        <v>42469</v>
      </c>
      <c r="D25" s="280">
        <v>499598</v>
      </c>
      <c r="E25" s="280">
        <v>28466</v>
      </c>
      <c r="F25" s="280">
        <v>2244</v>
      </c>
      <c r="G25" s="280">
        <v>196710</v>
      </c>
      <c r="H25" s="280">
        <v>339505</v>
      </c>
      <c r="I25" s="422">
        <v>179010</v>
      </c>
      <c r="J25" s="280">
        <v>26564</v>
      </c>
      <c r="K25" s="280">
        <v>28728</v>
      </c>
      <c r="L25" s="280">
        <v>73278</v>
      </c>
      <c r="M25" s="280">
        <v>205841</v>
      </c>
      <c r="N25" s="280">
        <v>4227</v>
      </c>
      <c r="O25" s="280">
        <v>16329</v>
      </c>
      <c r="P25" s="280">
        <v>80656</v>
      </c>
      <c r="Q25" s="280">
        <v>61120</v>
      </c>
      <c r="R25" s="280">
        <v>65783</v>
      </c>
      <c r="S25" s="280">
        <v>3322</v>
      </c>
      <c r="T25" s="280">
        <v>120489</v>
      </c>
      <c r="U25" s="280">
        <f>SUM(B25:T25)</f>
        <v>2273001</v>
      </c>
      <c r="V25" s="280">
        <v>101573</v>
      </c>
      <c r="W25" s="280">
        <f>U25+V25</f>
        <v>2374574</v>
      </c>
      <c r="X25" s="280">
        <v>94959</v>
      </c>
      <c r="Y25" s="280">
        <f>W25+X25</f>
        <v>2469533</v>
      </c>
      <c r="Z25" s="419" t="s">
        <v>1471</v>
      </c>
    </row>
    <row r="26" spans="1:26" ht="17.100000000000001" customHeight="1">
      <c r="A26" s="438"/>
      <c r="B26" s="666">
        <f t="shared" ref="B26:W26" si="8">(B25/$W25)*100</f>
        <v>12.577498111240162</v>
      </c>
      <c r="C26" s="666">
        <f t="shared" si="8"/>
        <v>1.7884892195400102</v>
      </c>
      <c r="D26" s="666">
        <f t="shared" si="8"/>
        <v>21.039479081300478</v>
      </c>
      <c r="E26" s="666">
        <f t="shared" si="8"/>
        <v>1.1987834449463357</v>
      </c>
      <c r="F26" s="666">
        <f t="shared" si="8"/>
        <v>9.4501161050361021E-2</v>
      </c>
      <c r="G26" s="666">
        <f t="shared" si="8"/>
        <v>8.2840122059788417</v>
      </c>
      <c r="H26" s="666">
        <f t="shared" si="8"/>
        <v>14.297511890553844</v>
      </c>
      <c r="I26" s="666">
        <f t="shared" si="8"/>
        <v>7.5386153474265276</v>
      </c>
      <c r="J26" s="666">
        <f t="shared" si="8"/>
        <v>1.1186848672646126</v>
      </c>
      <c r="K26" s="666">
        <f t="shared" si="8"/>
        <v>1.2098170029655846</v>
      </c>
      <c r="L26" s="666">
        <f t="shared" si="8"/>
        <v>3.0859429944065755</v>
      </c>
      <c r="M26" s="666">
        <f t="shared" si="8"/>
        <v>8.6685443367947261</v>
      </c>
      <c r="N26" s="666">
        <f t="shared" si="8"/>
        <v>0.1780108768983405</v>
      </c>
      <c r="O26" s="666">
        <f t="shared" si="8"/>
        <v>0.68766018662715922</v>
      </c>
      <c r="P26" s="666">
        <f t="shared" si="8"/>
        <v>3.3966513572539747</v>
      </c>
      <c r="Q26" s="666">
        <f t="shared" si="8"/>
        <v>2.5739353669331848</v>
      </c>
      <c r="R26" s="666">
        <f t="shared" si="8"/>
        <v>2.7703074319856951</v>
      </c>
      <c r="S26" s="666">
        <f t="shared" si="8"/>
        <v>0.1398987776333776</v>
      </c>
      <c r="T26" s="666">
        <f t="shared" si="8"/>
        <v>5.0741311915316185</v>
      </c>
      <c r="U26" s="666">
        <f t="shared" si="8"/>
        <v>95.722474852331402</v>
      </c>
      <c r="V26" s="666">
        <f t="shared" si="8"/>
        <v>4.2775251476685918</v>
      </c>
      <c r="W26" s="666">
        <f t="shared" si="8"/>
        <v>100</v>
      </c>
      <c r="X26" s="322"/>
      <c r="Y26" s="322"/>
      <c r="Z26" s="385"/>
    </row>
    <row r="27" spans="1:26" s="177" customFormat="1" ht="17.100000000000001" customHeight="1">
      <c r="A27" s="424" t="s">
        <v>1600</v>
      </c>
      <c r="B27" s="280">
        <v>308399.90000000002</v>
      </c>
      <c r="C27" s="280">
        <v>47271</v>
      </c>
      <c r="D27" s="280">
        <v>561220</v>
      </c>
      <c r="E27" s="280">
        <v>30812</v>
      </c>
      <c r="F27" s="280">
        <v>2386</v>
      </c>
      <c r="G27" s="280">
        <v>217314</v>
      </c>
      <c r="H27" s="280">
        <v>369561</v>
      </c>
      <c r="I27" s="280">
        <v>191556</v>
      </c>
      <c r="J27" s="422">
        <v>28061</v>
      </c>
      <c r="K27" s="280">
        <v>30842</v>
      </c>
      <c r="L27" s="280">
        <v>79324</v>
      </c>
      <c r="M27" s="280">
        <v>213268</v>
      </c>
      <c r="N27" s="280">
        <v>4403</v>
      </c>
      <c r="O27" s="280">
        <v>17663</v>
      </c>
      <c r="P27" s="280">
        <v>85890</v>
      </c>
      <c r="Q27" s="280">
        <v>65434</v>
      </c>
      <c r="R27" s="280">
        <v>73809</v>
      </c>
      <c r="S27" s="280">
        <v>3504</v>
      </c>
      <c r="T27" s="280">
        <v>124429</v>
      </c>
      <c r="U27" s="280">
        <f>SUM(B27:T27)</f>
        <v>2455146.9</v>
      </c>
      <c r="V27" s="280">
        <v>106588</v>
      </c>
      <c r="W27" s="280">
        <f>U27+V27</f>
        <v>2561734.9</v>
      </c>
      <c r="X27" s="280">
        <v>104932</v>
      </c>
      <c r="Y27" s="280">
        <f>W27+X27</f>
        <v>2666666.9</v>
      </c>
      <c r="Z27" s="419" t="s">
        <v>1600</v>
      </c>
    </row>
    <row r="28" spans="1:26" ht="17.100000000000001" customHeight="1">
      <c r="A28" s="438"/>
      <c r="B28" s="666">
        <f t="shared" ref="B28:W28" si="9">(B27/$W27)*100</f>
        <v>12.038712514710246</v>
      </c>
      <c r="C28" s="666">
        <f t="shared" si="9"/>
        <v>1.8452729047022003</v>
      </c>
      <c r="D28" s="666">
        <f t="shared" si="9"/>
        <v>21.907809430241983</v>
      </c>
      <c r="E28" s="666">
        <f t="shared" si="9"/>
        <v>1.2027786325587397</v>
      </c>
      <c r="F28" s="666">
        <f t="shared" si="9"/>
        <v>9.314000445557423E-2</v>
      </c>
      <c r="G28" s="666">
        <f t="shared" si="9"/>
        <v>8.4830791820027915</v>
      </c>
      <c r="H28" s="666">
        <f t="shared" si="9"/>
        <v>14.426199994386618</v>
      </c>
      <c r="I28" s="666">
        <f t="shared" si="9"/>
        <v>7.4775887231735032</v>
      </c>
      <c r="J28" s="666">
        <f t="shared" si="9"/>
        <v>1.095390471512099</v>
      </c>
      <c r="K28" s="666">
        <f t="shared" si="9"/>
        <v>1.2039497139223891</v>
      </c>
      <c r="L28" s="666">
        <f t="shared" si="9"/>
        <v>3.0964952696705659</v>
      </c>
      <c r="M28" s="666">
        <f t="shared" si="9"/>
        <v>8.3251393420919548</v>
      </c>
      <c r="N28" s="666">
        <f t="shared" si="9"/>
        <v>0.17187570813826208</v>
      </c>
      <c r="O28" s="666">
        <f t="shared" si="9"/>
        <v>0.68949367087125213</v>
      </c>
      <c r="P28" s="666">
        <f t="shared" si="9"/>
        <v>3.3528059441279421</v>
      </c>
      <c r="Q28" s="666">
        <f t="shared" si="9"/>
        <v>2.5542845983009403</v>
      </c>
      <c r="R28" s="666">
        <f t="shared" si="9"/>
        <v>2.8812114789863696</v>
      </c>
      <c r="S28" s="666">
        <f t="shared" si="9"/>
        <v>0.1367823032742381</v>
      </c>
      <c r="T28" s="666">
        <f t="shared" si="9"/>
        <v>4.8572160999172862</v>
      </c>
      <c r="U28" s="666">
        <f t="shared" si="9"/>
        <v>95.839225987044955</v>
      </c>
      <c r="V28" s="666">
        <f t="shared" si="9"/>
        <v>4.1607740129550486</v>
      </c>
      <c r="W28" s="666">
        <f t="shared" si="9"/>
        <v>100</v>
      </c>
      <c r="X28" s="322"/>
      <c r="Y28" s="322"/>
      <c r="Z28" s="385"/>
    </row>
    <row r="29" spans="1:26" s="177" customFormat="1" ht="17.100000000000001" customHeight="1">
      <c r="A29" s="424" t="s">
        <v>1695</v>
      </c>
      <c r="B29" s="280">
        <v>318950</v>
      </c>
      <c r="C29" s="280">
        <v>48765</v>
      </c>
      <c r="D29" s="280">
        <v>570654</v>
      </c>
      <c r="E29" s="280">
        <v>31020</v>
      </c>
      <c r="F29" s="280">
        <v>2438</v>
      </c>
      <c r="G29" s="280">
        <v>237146</v>
      </c>
      <c r="H29" s="280">
        <v>381439</v>
      </c>
      <c r="I29" s="280">
        <v>194870</v>
      </c>
      <c r="J29" s="280">
        <v>28535</v>
      </c>
      <c r="K29" s="280">
        <v>32868</v>
      </c>
      <c r="L29" s="280">
        <v>83068</v>
      </c>
      <c r="M29" s="280">
        <v>221109</v>
      </c>
      <c r="N29" s="280">
        <v>4552</v>
      </c>
      <c r="O29" s="280">
        <v>18781</v>
      </c>
      <c r="P29" s="280">
        <v>90602</v>
      </c>
      <c r="Q29" s="280">
        <v>68924</v>
      </c>
      <c r="R29" s="280">
        <v>81704</v>
      </c>
      <c r="S29" s="280">
        <v>3695</v>
      </c>
      <c r="T29" s="280">
        <v>128242</v>
      </c>
      <c r="U29" s="280">
        <f>SUM(B29:T29)</f>
        <v>2547362</v>
      </c>
      <c r="V29" s="280">
        <v>102703</v>
      </c>
      <c r="W29" s="280">
        <f>U29+V29</f>
        <v>2650065</v>
      </c>
      <c r="X29" s="280">
        <v>109691</v>
      </c>
      <c r="Y29" s="280">
        <f>W29+X29</f>
        <v>2759756</v>
      </c>
      <c r="Z29" s="419" t="s">
        <v>1695</v>
      </c>
    </row>
    <row r="30" spans="1:26" ht="17.100000000000001" customHeight="1">
      <c r="A30" s="438"/>
      <c r="B30" s="666">
        <f t="shared" ref="B30:W30" si="10">(B29/$W29)*100</f>
        <v>12.035553844905692</v>
      </c>
      <c r="C30" s="666">
        <f t="shared" si="10"/>
        <v>1.8401435436489293</v>
      </c>
      <c r="D30" s="666">
        <f t="shared" si="10"/>
        <v>21.533585025272963</v>
      </c>
      <c r="E30" s="666">
        <f t="shared" si="10"/>
        <v>1.1705373264429364</v>
      </c>
      <c r="F30" s="666">
        <f t="shared" si="10"/>
        <v>9.1997743451575714E-2</v>
      </c>
      <c r="G30" s="666">
        <f t="shared" si="10"/>
        <v>8.9486861643016304</v>
      </c>
      <c r="H30" s="666">
        <f t="shared" si="10"/>
        <v>14.393571478435435</v>
      </c>
      <c r="I30" s="666">
        <f t="shared" si="10"/>
        <v>7.3534045391339458</v>
      </c>
      <c r="J30" s="666">
        <f t="shared" si="10"/>
        <v>1.0767660415876592</v>
      </c>
      <c r="K30" s="666">
        <f t="shared" si="10"/>
        <v>1.2402714650395368</v>
      </c>
      <c r="L30" s="666">
        <f t="shared" si="10"/>
        <v>3.1345646238865843</v>
      </c>
      <c r="M30" s="666">
        <f t="shared" si="10"/>
        <v>8.3435311964046157</v>
      </c>
      <c r="N30" s="666">
        <f t="shared" si="10"/>
        <v>0.17176937169465653</v>
      </c>
      <c r="O30" s="666">
        <f t="shared" si="10"/>
        <v>0.7086995979343903</v>
      </c>
      <c r="P30" s="666">
        <f t="shared" si="10"/>
        <v>3.418859537407573</v>
      </c>
      <c r="Q30" s="666">
        <f t="shared" si="10"/>
        <v>2.6008418661429058</v>
      </c>
      <c r="R30" s="666">
        <f t="shared" si="10"/>
        <v>3.0830941882557599</v>
      </c>
      <c r="S30" s="666">
        <f t="shared" si="10"/>
        <v>0.13943054226971791</v>
      </c>
      <c r="T30" s="666">
        <f t="shared" si="10"/>
        <v>4.8392020573080288</v>
      </c>
      <c r="U30" s="666">
        <f t="shared" si="10"/>
        <v>96.12451015352454</v>
      </c>
      <c r="V30" s="666">
        <f t="shared" si="10"/>
        <v>3.8754898464754639</v>
      </c>
      <c r="W30" s="666">
        <f t="shared" si="10"/>
        <v>100</v>
      </c>
      <c r="X30" s="322"/>
      <c r="Y30" s="322"/>
      <c r="Z30" s="385"/>
    </row>
    <row r="31" spans="1:26" s="177" customFormat="1" ht="17.100000000000001" customHeight="1">
      <c r="A31" s="424" t="s">
        <v>1764</v>
      </c>
      <c r="B31" s="422">
        <v>329075</v>
      </c>
      <c r="C31" s="422">
        <v>51932</v>
      </c>
      <c r="D31" s="422">
        <v>636764</v>
      </c>
      <c r="E31" s="422">
        <v>33980</v>
      </c>
      <c r="F31" s="422">
        <v>2599</v>
      </c>
      <c r="G31" s="422">
        <v>256305</v>
      </c>
      <c r="H31" s="422">
        <v>410589</v>
      </c>
      <c r="I31" s="422">
        <v>202740</v>
      </c>
      <c r="J31" s="422">
        <v>29828</v>
      </c>
      <c r="K31" s="422">
        <v>35206</v>
      </c>
      <c r="L31" s="422">
        <v>87901</v>
      </c>
      <c r="M31" s="422">
        <v>228668</v>
      </c>
      <c r="N31" s="422">
        <v>4784</v>
      </c>
      <c r="O31" s="422">
        <v>19911</v>
      </c>
      <c r="P31" s="422">
        <v>96081</v>
      </c>
      <c r="Q31" s="422">
        <v>72932</v>
      </c>
      <c r="R31" s="422">
        <v>90364</v>
      </c>
      <c r="S31" s="422">
        <v>3908</v>
      </c>
      <c r="T31" s="422">
        <v>132197</v>
      </c>
      <c r="U31" s="280">
        <f>SUM(B31:T31)</f>
        <v>2725764</v>
      </c>
      <c r="V31" s="422">
        <v>108180</v>
      </c>
      <c r="W31" s="280">
        <f>U31+V31</f>
        <v>2833944</v>
      </c>
      <c r="X31" s="422">
        <v>149165</v>
      </c>
      <c r="Y31" s="280">
        <f>W31+X31</f>
        <v>2983109</v>
      </c>
      <c r="Z31" s="419" t="s">
        <v>1764</v>
      </c>
    </row>
    <row r="32" spans="1:26" ht="17.100000000000001" customHeight="1">
      <c r="A32" s="438"/>
      <c r="B32" s="666">
        <f t="shared" ref="B32:W34" si="11">(B31/$W31)*100</f>
        <v>11.61190905677741</v>
      </c>
      <c r="C32" s="666">
        <f t="shared" si="11"/>
        <v>1.8324991601810054</v>
      </c>
      <c r="D32" s="666">
        <f t="shared" si="11"/>
        <v>22.469180760099704</v>
      </c>
      <c r="E32" s="666">
        <f t="shared" si="11"/>
        <v>1.1990356901900672</v>
      </c>
      <c r="F32" s="666">
        <f t="shared" si="11"/>
        <v>9.1709645638728216E-2</v>
      </c>
      <c r="G32" s="666">
        <f t="shared" si="11"/>
        <v>9.0441095519177512</v>
      </c>
      <c r="H32" s="666">
        <f t="shared" si="11"/>
        <v>14.488253825763669</v>
      </c>
      <c r="I32" s="666">
        <f t="shared" si="11"/>
        <v>7.1539875170433849</v>
      </c>
      <c r="J32" s="666">
        <f t="shared" si="11"/>
        <v>1.0525260908472434</v>
      </c>
      <c r="K32" s="666">
        <f t="shared" si="11"/>
        <v>1.2422969543505447</v>
      </c>
      <c r="L32" s="666">
        <f t="shared" si="11"/>
        <v>3.10171972346666</v>
      </c>
      <c r="M32" s="666">
        <f t="shared" si="11"/>
        <v>8.068896209663988</v>
      </c>
      <c r="N32" s="666">
        <f t="shared" si="11"/>
        <v>0.16881067515801298</v>
      </c>
      <c r="O32" s="666">
        <f t="shared" si="11"/>
        <v>0.70258974771555116</v>
      </c>
      <c r="P32" s="666">
        <f t="shared" si="11"/>
        <v>3.3903633946189484</v>
      </c>
      <c r="Q32" s="666">
        <f t="shared" si="11"/>
        <v>2.5735159198629192</v>
      </c>
      <c r="R32" s="666">
        <f t="shared" si="11"/>
        <v>3.1886304034236388</v>
      </c>
      <c r="S32" s="666">
        <f t="shared" si="11"/>
        <v>0.13789969032556748</v>
      </c>
      <c r="T32" s="666">
        <f t="shared" si="11"/>
        <v>4.6647710752223759</v>
      </c>
      <c r="U32" s="666">
        <f t="shared" si="11"/>
        <v>96.18270509226717</v>
      </c>
      <c r="V32" s="666">
        <f t="shared" si="11"/>
        <v>3.8172949077328275</v>
      </c>
      <c r="W32" s="666">
        <f t="shared" si="11"/>
        <v>100</v>
      </c>
      <c r="X32" s="322"/>
      <c r="Y32" s="322"/>
      <c r="Z32" s="385"/>
    </row>
    <row r="33" spans="1:26" ht="17.100000000000001" customHeight="1">
      <c r="A33" s="424" t="s">
        <v>2437</v>
      </c>
      <c r="B33" s="422">
        <v>336320</v>
      </c>
      <c r="C33" s="422">
        <v>50925</v>
      </c>
      <c r="D33" s="422">
        <v>715123</v>
      </c>
      <c r="E33" s="422">
        <v>36005</v>
      </c>
      <c r="F33" s="422">
        <v>2793</v>
      </c>
      <c r="G33" s="422">
        <v>279219</v>
      </c>
      <c r="H33" s="422">
        <v>446406</v>
      </c>
      <c r="I33" s="422">
        <v>214288</v>
      </c>
      <c r="J33" s="422">
        <v>31495</v>
      </c>
      <c r="K33" s="422">
        <v>37370</v>
      </c>
      <c r="L33" s="422">
        <v>94584</v>
      </c>
      <c r="M33" s="422">
        <v>237033</v>
      </c>
      <c r="N33" s="422">
        <v>4987</v>
      </c>
      <c r="O33" s="422">
        <v>21003</v>
      </c>
      <c r="P33" s="422">
        <v>99944</v>
      </c>
      <c r="Q33" s="422">
        <v>77478</v>
      </c>
      <c r="R33" s="422">
        <v>99199</v>
      </c>
      <c r="S33" s="422">
        <v>4145</v>
      </c>
      <c r="T33" s="422">
        <v>136411</v>
      </c>
      <c r="U33" s="280">
        <f>SUM(B33:T33)</f>
        <v>2924728</v>
      </c>
      <c r="V33" s="422">
        <v>114545</v>
      </c>
      <c r="W33" s="280">
        <f>U33+V33</f>
        <v>3039273</v>
      </c>
      <c r="X33" s="422">
        <v>112820</v>
      </c>
      <c r="Y33" s="280">
        <f>W33+X33</f>
        <v>3152093</v>
      </c>
      <c r="Z33" s="419" t="s">
        <v>2437</v>
      </c>
    </row>
    <row r="34" spans="1:26" ht="17.100000000000001" customHeight="1" thickBot="1">
      <c r="A34" s="942"/>
      <c r="B34" s="644">
        <f t="shared" si="11"/>
        <v>11.065804223575835</v>
      </c>
      <c r="C34" s="644">
        <f t="shared" si="11"/>
        <v>1.6755651762773531</v>
      </c>
      <c r="D34" s="644">
        <f t="shared" si="11"/>
        <v>23.529409829258512</v>
      </c>
      <c r="E34" s="644">
        <f t="shared" si="11"/>
        <v>1.1846583047985488</v>
      </c>
      <c r="F34" s="644">
        <f t="shared" si="11"/>
        <v>9.1896976678304321E-2</v>
      </c>
      <c r="G34" s="644">
        <f t="shared" si="11"/>
        <v>9.187032556798945</v>
      </c>
      <c r="H34" s="644">
        <f t="shared" si="11"/>
        <v>14.687920433603693</v>
      </c>
      <c r="I34" s="644">
        <f t="shared" si="11"/>
        <v>7.0506334903116628</v>
      </c>
      <c r="J34" s="644">
        <f t="shared" si="11"/>
        <v>1.0362675547737896</v>
      </c>
      <c r="K34" s="644">
        <f t="shared" si="11"/>
        <v>1.2295703610699007</v>
      </c>
      <c r="L34" s="644">
        <f t="shared" si="11"/>
        <v>3.1120600222487416</v>
      </c>
      <c r="M34" s="644">
        <f t="shared" si="11"/>
        <v>7.7990032484742233</v>
      </c>
      <c r="N34" s="644">
        <f t="shared" si="11"/>
        <v>0.16408529276573708</v>
      </c>
      <c r="O34" s="644">
        <f t="shared" si="11"/>
        <v>0.69105341968293077</v>
      </c>
      <c r="P34" s="644">
        <f t="shared" si="11"/>
        <v>3.2884179868014485</v>
      </c>
      <c r="Q34" s="644">
        <f t="shared" si="11"/>
        <v>2.5492280555251203</v>
      </c>
      <c r="R34" s="644">
        <f>(R33/$W33)*100</f>
        <v>3.2639055458328357</v>
      </c>
      <c r="S34" s="644">
        <f>(S33/$W33)*100</f>
        <v>0.13638129908040508</v>
      </c>
      <c r="T34" s="644">
        <f>(T33/$W33)*100</f>
        <v>4.4882772952610708</v>
      </c>
      <c r="U34" s="644">
        <f t="shared" si="11"/>
        <v>96.231171072819052</v>
      </c>
      <c r="V34" s="644">
        <f t="shared" si="11"/>
        <v>3.768828927180941</v>
      </c>
      <c r="W34" s="644">
        <f t="shared" si="11"/>
        <v>100</v>
      </c>
      <c r="X34" s="873"/>
      <c r="Y34" s="873"/>
      <c r="Z34" s="943"/>
    </row>
    <row r="35" spans="1:26" ht="13.5" customHeight="1">
      <c r="A35" s="83" t="s">
        <v>2351</v>
      </c>
      <c r="B35" s="2159" t="s">
        <v>2352</v>
      </c>
      <c r="C35" s="2159"/>
      <c r="D35" s="2159"/>
      <c r="E35" s="2159"/>
      <c r="F35" s="2159"/>
      <c r="G35" s="2159"/>
      <c r="H35" s="2159"/>
      <c r="I35" s="2159"/>
      <c r="J35" s="2159"/>
      <c r="K35" s="1429"/>
      <c r="L35" s="1430" t="s">
        <v>1469</v>
      </c>
      <c r="M35" s="658"/>
      <c r="N35" s="784" t="s">
        <v>2353</v>
      </c>
      <c r="O35" s="7"/>
      <c r="P35" s="7"/>
      <c r="Q35" s="7"/>
      <c r="R35" s="57"/>
      <c r="S35" s="1424"/>
      <c r="T35" s="1424"/>
      <c r="U35" s="1424"/>
      <c r="V35" s="1424"/>
      <c r="W35" s="7"/>
      <c r="X35" s="2149"/>
      <c r="Y35" s="2149"/>
      <c r="Z35" s="7"/>
    </row>
    <row r="36" spans="1:26" ht="9.75" customHeight="1">
      <c r="B36" s="2157"/>
      <c r="C36" s="2157"/>
      <c r="D36" s="2157"/>
      <c r="E36" s="10"/>
      <c r="F36" s="2149"/>
      <c r="G36" s="2149"/>
      <c r="H36" s="10"/>
      <c r="I36" s="10"/>
      <c r="J36" s="10"/>
      <c r="K36" s="10"/>
      <c r="L36" s="10"/>
      <c r="P36" s="2158"/>
      <c r="Q36" s="2158"/>
      <c r="R36" s="2158"/>
      <c r="S36" s="1298"/>
    </row>
    <row r="37" spans="1:26" ht="9.75" customHeight="1"/>
    <row r="38" spans="1:26" ht="9.75" customHeight="1">
      <c r="D38" s="812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5:Y35"/>
    <mergeCell ref="B36:D36"/>
    <mergeCell ref="F36:G36"/>
    <mergeCell ref="P36:R36"/>
    <mergeCell ref="B35:J35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45" firstPageNumber="48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I56" sqref="I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44" t="s">
        <v>258</v>
      </c>
      <c r="C1" s="1844"/>
      <c r="D1" s="1844"/>
      <c r="E1" s="1844"/>
      <c r="F1" s="1844"/>
      <c r="G1" s="1844"/>
      <c r="H1" s="1844"/>
      <c r="I1" s="1844"/>
      <c r="J1" s="1844"/>
      <c r="K1" s="1844"/>
      <c r="L1" s="2139" t="s">
        <v>259</v>
      </c>
      <c r="M1" s="2139"/>
      <c r="N1" s="2139"/>
      <c r="O1" s="2139"/>
      <c r="P1" s="36"/>
      <c r="Q1" s="36"/>
      <c r="R1" s="36"/>
      <c r="U1" s="1844" t="s">
        <v>1205</v>
      </c>
      <c r="V1" s="1844"/>
      <c r="W1" s="1844"/>
    </row>
    <row r="2" spans="1:24" ht="12" customHeight="1">
      <c r="B2" s="1297"/>
      <c r="C2" s="1297"/>
      <c r="D2" s="2161"/>
      <c r="E2" s="2161"/>
      <c r="F2" s="99"/>
      <c r="G2" s="99"/>
      <c r="H2" s="99"/>
      <c r="I2" s="99"/>
      <c r="J2" s="2162" t="s">
        <v>2308</v>
      </c>
      <c r="K2" s="2162"/>
      <c r="L2" s="2164" t="s">
        <v>2309</v>
      </c>
      <c r="M2" s="2164"/>
      <c r="N2" s="2164"/>
      <c r="O2" s="2164"/>
      <c r="P2" s="2164"/>
      <c r="S2" s="1297"/>
      <c r="T2" s="1297"/>
      <c r="V2" s="2163" t="s">
        <v>1733</v>
      </c>
      <c r="W2" s="2163"/>
    </row>
    <row r="3" spans="1:24" ht="13.5" customHeight="1">
      <c r="A3" s="1861" t="s">
        <v>527</v>
      </c>
      <c r="B3" s="2160" t="s">
        <v>260</v>
      </c>
      <c r="C3" s="2160" t="s">
        <v>261</v>
      </c>
      <c r="D3" s="2160" t="s">
        <v>262</v>
      </c>
      <c r="E3" s="2160" t="s">
        <v>284</v>
      </c>
      <c r="F3" s="2160" t="s">
        <v>285</v>
      </c>
      <c r="G3" s="2160" t="s">
        <v>293</v>
      </c>
      <c r="H3" s="2160" t="s">
        <v>263</v>
      </c>
      <c r="I3" s="2160" t="s">
        <v>264</v>
      </c>
      <c r="J3" s="2160" t="s">
        <v>265</v>
      </c>
      <c r="K3" s="2160" t="s">
        <v>1542</v>
      </c>
      <c r="L3" s="2160" t="s">
        <v>292</v>
      </c>
      <c r="M3" s="2160" t="s">
        <v>266</v>
      </c>
      <c r="N3" s="2160" t="s">
        <v>267</v>
      </c>
      <c r="O3" s="2160" t="s">
        <v>905</v>
      </c>
      <c r="P3" s="2160" t="s">
        <v>287</v>
      </c>
      <c r="Q3" s="2160" t="s">
        <v>906</v>
      </c>
      <c r="R3" s="2160" t="s">
        <v>1543</v>
      </c>
      <c r="S3" s="2165" t="s">
        <v>268</v>
      </c>
      <c r="T3" s="2166"/>
      <c r="U3" s="2166"/>
      <c r="V3" s="2166"/>
      <c r="W3" s="2167"/>
    </row>
    <row r="4" spans="1:24" s="100" customFormat="1" ht="74.25" customHeight="1">
      <c r="A4" s="1862"/>
      <c r="B4" s="2160"/>
      <c r="C4" s="2160"/>
      <c r="D4" s="2160"/>
      <c r="E4" s="2160"/>
      <c r="F4" s="2160"/>
      <c r="G4" s="2160"/>
      <c r="H4" s="2160"/>
      <c r="I4" s="2160"/>
      <c r="J4" s="2160"/>
      <c r="K4" s="2160"/>
      <c r="L4" s="2160"/>
      <c r="M4" s="2160"/>
      <c r="N4" s="2160"/>
      <c r="O4" s="2160"/>
      <c r="P4" s="2160"/>
      <c r="Q4" s="2160"/>
      <c r="R4" s="2160"/>
      <c r="S4" s="2168" t="s">
        <v>260</v>
      </c>
      <c r="T4" s="2169"/>
      <c r="U4" s="1299" t="s">
        <v>266</v>
      </c>
      <c r="V4" s="1294" t="s">
        <v>269</v>
      </c>
      <c r="W4" s="1294" t="s">
        <v>286</v>
      </c>
    </row>
    <row r="5" spans="1:24" s="103" customFormat="1" ht="9.75" customHeight="1">
      <c r="A5" s="1863"/>
      <c r="B5" s="1300">
        <v>1</v>
      </c>
      <c r="C5" s="1300">
        <v>2</v>
      </c>
      <c r="D5" s="1300">
        <v>3</v>
      </c>
      <c r="E5" s="1300">
        <v>4</v>
      </c>
      <c r="F5" s="1300">
        <v>5</v>
      </c>
      <c r="G5" s="1300">
        <v>6</v>
      </c>
      <c r="H5" s="1300">
        <v>7</v>
      </c>
      <c r="I5" s="1300">
        <v>8</v>
      </c>
      <c r="J5" s="1300">
        <v>9</v>
      </c>
      <c r="K5" s="1300">
        <v>10</v>
      </c>
      <c r="L5" s="1300">
        <v>11</v>
      </c>
      <c r="M5" s="1300">
        <v>12</v>
      </c>
      <c r="N5" s="1300">
        <v>13</v>
      </c>
      <c r="O5" s="1300">
        <v>14</v>
      </c>
      <c r="P5" s="1300">
        <v>15</v>
      </c>
      <c r="Q5" s="1300">
        <v>16</v>
      </c>
      <c r="R5" s="1300">
        <v>17</v>
      </c>
      <c r="S5" s="2170">
        <v>18</v>
      </c>
      <c r="T5" s="2170"/>
      <c r="U5" s="1300">
        <v>19</v>
      </c>
      <c r="V5" s="1300">
        <v>20</v>
      </c>
      <c r="W5" s="1300">
        <v>21</v>
      </c>
    </row>
    <row r="6" spans="1:24" s="103" customFormat="1" ht="10.7" customHeight="1">
      <c r="A6" s="2171" t="s">
        <v>2310</v>
      </c>
      <c r="B6" s="2172"/>
      <c r="C6" s="2172"/>
      <c r="D6" s="1305"/>
      <c r="E6" s="1305"/>
      <c r="F6" s="1305"/>
      <c r="G6" s="1305"/>
      <c r="H6" s="1305"/>
      <c r="I6" s="1305"/>
      <c r="J6" s="1305"/>
      <c r="K6" s="1305"/>
      <c r="L6" s="1305"/>
      <c r="M6" s="1305"/>
      <c r="N6" s="1305"/>
      <c r="O6" s="1305"/>
      <c r="P6" s="1305"/>
      <c r="Q6" s="1305"/>
      <c r="R6" s="1305"/>
      <c r="S6" s="1305"/>
      <c r="T6" s="1305"/>
      <c r="U6" s="1305"/>
      <c r="V6" s="1305"/>
      <c r="W6" s="1305"/>
    </row>
    <row r="7" spans="1:24" s="100" customFormat="1" ht="10.7" customHeight="1">
      <c r="A7" s="354" t="s">
        <v>605</v>
      </c>
      <c r="B7" s="324">
        <v>482337</v>
      </c>
      <c r="C7" s="646">
        <v>509545</v>
      </c>
      <c r="D7" s="646">
        <v>3653</v>
      </c>
      <c r="E7" s="646">
        <v>513197</v>
      </c>
      <c r="F7" s="646">
        <v>378940</v>
      </c>
      <c r="G7" s="323">
        <f>(F7/B7)*100</f>
        <v>78.563328129502821</v>
      </c>
      <c r="H7" s="646">
        <v>103397</v>
      </c>
      <c r="I7" s="646">
        <v>134257</v>
      </c>
      <c r="J7" s="323">
        <f>(I7/B7)*100</f>
        <v>27.834688195183038</v>
      </c>
      <c r="K7" s="646">
        <v>126103</v>
      </c>
      <c r="L7" s="323">
        <f>(K7/B7)*100</f>
        <v>26.144168910948157</v>
      </c>
      <c r="M7" s="645" t="s">
        <v>1263</v>
      </c>
      <c r="N7" s="645" t="s">
        <v>1268</v>
      </c>
      <c r="O7" s="645" t="s">
        <v>720</v>
      </c>
      <c r="P7" s="645" t="s">
        <v>1277</v>
      </c>
      <c r="Q7" s="1292">
        <f>(B7/M7)*100</f>
        <v>100</v>
      </c>
      <c r="R7" s="645" t="s">
        <v>1281</v>
      </c>
      <c r="S7" s="646">
        <v>34502</v>
      </c>
      <c r="T7" s="645"/>
      <c r="U7" s="645" t="s">
        <v>1287</v>
      </c>
      <c r="V7" s="646">
        <v>36448</v>
      </c>
      <c r="W7" s="645" t="s">
        <v>1286</v>
      </c>
      <c r="X7" s="957"/>
    </row>
    <row r="8" spans="1:24" s="274" customFormat="1" ht="10.7" customHeight="1">
      <c r="A8" s="278"/>
      <c r="B8" s="1306">
        <f>(B7/67.08)*10</f>
        <v>71904.740608228982</v>
      </c>
      <c r="C8" s="1306">
        <f>(C7/67.08)*10</f>
        <v>75960.793082886114</v>
      </c>
      <c r="D8" s="1306">
        <f>(D7/67.08)*10</f>
        <v>544.5736434108527</v>
      </c>
      <c r="E8" s="1306">
        <f>(E7/67.08)*10</f>
        <v>76505.217650566497</v>
      </c>
      <c r="F8" s="1306">
        <f>(F7/67.08)*10</f>
        <v>56490.757304710794</v>
      </c>
      <c r="G8" s="1306"/>
      <c r="H8" s="1306">
        <f>(H7/67.08)*10</f>
        <v>15413.983303518187</v>
      </c>
      <c r="I8" s="1306">
        <f>(I7/67.08)*10</f>
        <v>20014.460345855696</v>
      </c>
      <c r="J8" s="1306"/>
      <c r="K8" s="1306">
        <f>(K7/67.08)*10</f>
        <v>18798.896839594516</v>
      </c>
      <c r="L8" s="1307"/>
      <c r="M8" s="1307"/>
      <c r="N8" s="1307"/>
      <c r="O8" s="1307"/>
      <c r="P8" s="1307"/>
      <c r="Q8" s="1307"/>
      <c r="R8" s="1307"/>
      <c r="S8" s="1306">
        <f>S7/67.08</f>
        <v>514.34108527131787</v>
      </c>
      <c r="T8" s="1307"/>
      <c r="U8" s="1307"/>
      <c r="V8" s="1306">
        <f>V7/67.08</f>
        <v>543.35122242098987</v>
      </c>
      <c r="W8" s="1307"/>
      <c r="X8" s="1308"/>
    </row>
    <row r="9" spans="1:24" s="100" customFormat="1" ht="10.7" customHeight="1">
      <c r="A9" s="354" t="s">
        <v>614</v>
      </c>
      <c r="B9" s="324">
        <v>549800</v>
      </c>
      <c r="C9" s="646">
        <v>585075</v>
      </c>
      <c r="D9" s="646">
        <v>3989</v>
      </c>
      <c r="E9" s="646">
        <v>589064</v>
      </c>
      <c r="F9" s="646">
        <v>435731</v>
      </c>
      <c r="G9" s="323">
        <f>(F9/B9)*100</f>
        <v>79.252637322662792</v>
      </c>
      <c r="H9" s="646">
        <v>114069</v>
      </c>
      <c r="I9" s="646">
        <v>153333</v>
      </c>
      <c r="J9" s="323">
        <f>(I9/B9)*100</f>
        <v>27.888868679519824</v>
      </c>
      <c r="K9" s="646">
        <v>143929</v>
      </c>
      <c r="L9" s="323">
        <f>(K9/B9)*100</f>
        <v>26.178428519461622</v>
      </c>
      <c r="M9" s="645" t="s">
        <v>1264</v>
      </c>
      <c r="N9" s="645" t="s">
        <v>1269</v>
      </c>
      <c r="O9" s="645" t="s">
        <v>1273</v>
      </c>
      <c r="P9" s="645" t="s">
        <v>1278</v>
      </c>
      <c r="Q9" s="1292">
        <f>(B9/M9)*100</f>
        <v>106.47135943669718</v>
      </c>
      <c r="R9" s="645" t="s">
        <v>1282</v>
      </c>
      <c r="S9" s="646">
        <v>38773</v>
      </c>
      <c r="T9" s="645"/>
      <c r="U9" s="645" t="s">
        <v>1288</v>
      </c>
      <c r="V9" s="646">
        <v>41261</v>
      </c>
      <c r="W9" s="645" t="s">
        <v>1292</v>
      </c>
      <c r="X9" s="957"/>
    </row>
    <row r="10" spans="1:24" s="274" customFormat="1" ht="10.7" customHeight="1">
      <c r="A10" s="278"/>
      <c r="B10" s="1306">
        <f>(B9/69.03)*10</f>
        <v>79646.530493988117</v>
      </c>
      <c r="C10" s="1306">
        <f>(C9/69.03)*10</f>
        <v>84756.627553237719</v>
      </c>
      <c r="D10" s="1306">
        <f>(D9/69.03)*10</f>
        <v>577.86469650876427</v>
      </c>
      <c r="E10" s="1306">
        <f>(E9/69.03)*10</f>
        <v>85334.492249746487</v>
      </c>
      <c r="F10" s="1306">
        <f>(F9/69.03)*10</f>
        <v>63121.975952484427</v>
      </c>
      <c r="G10" s="1306"/>
      <c r="H10" s="1306">
        <f>(H9/69.03)*10</f>
        <v>16524.554541503694</v>
      </c>
      <c r="I10" s="1306">
        <f>(I9/69.03)*10</f>
        <v>22212.51629726206</v>
      </c>
      <c r="J10" s="1306"/>
      <c r="K10" s="1306">
        <f>(K9/69.03)*10</f>
        <v>20850.210053599883</v>
      </c>
      <c r="L10" s="1307"/>
      <c r="M10" s="1307"/>
      <c r="N10" s="1307"/>
      <c r="O10" s="1307"/>
      <c r="P10" s="1307"/>
      <c r="Q10" s="1307"/>
      <c r="R10" s="1307"/>
      <c r="S10" s="1306">
        <f>S9/69.03</f>
        <v>561.68332609010577</v>
      </c>
      <c r="T10" s="1307"/>
      <c r="U10" s="1307"/>
      <c r="V10" s="1306">
        <f>V9/69.03</f>
        <v>597.7256265391859</v>
      </c>
      <c r="W10" s="1307"/>
      <c r="X10" s="1308"/>
    </row>
    <row r="11" spans="1:24" s="100" customFormat="1" ht="10.7" customHeight="1">
      <c r="A11" s="354" t="s">
        <v>362</v>
      </c>
      <c r="B11" s="324">
        <v>628682</v>
      </c>
      <c r="C11" s="646">
        <v>677072</v>
      </c>
      <c r="D11" s="646">
        <v>5671</v>
      </c>
      <c r="E11" s="646">
        <v>682743</v>
      </c>
      <c r="F11" s="646">
        <v>508042</v>
      </c>
      <c r="G11" s="323">
        <f>(F11/B11)*100</f>
        <v>80.810648308683881</v>
      </c>
      <c r="H11" s="646">
        <v>120640</v>
      </c>
      <c r="I11" s="646">
        <v>174701</v>
      </c>
      <c r="J11" s="323">
        <f>(I11/B11)*100</f>
        <v>27.788452667644375</v>
      </c>
      <c r="K11" s="646">
        <v>164729</v>
      </c>
      <c r="L11" s="323">
        <f>(K11/B11)*100</f>
        <v>26.202277144884057</v>
      </c>
      <c r="M11" s="645" t="s">
        <v>1265</v>
      </c>
      <c r="N11" s="645" t="s">
        <v>1270</v>
      </c>
      <c r="O11" s="645" t="s">
        <v>1274</v>
      </c>
      <c r="P11" s="645" t="s">
        <v>1163</v>
      </c>
      <c r="Q11" s="1292">
        <f>(B11/M11)*100</f>
        <v>114.84097713526853</v>
      </c>
      <c r="R11" s="645" t="s">
        <v>1283</v>
      </c>
      <c r="S11" s="646">
        <v>43719</v>
      </c>
      <c r="T11" s="645"/>
      <c r="U11" s="645" t="s">
        <v>1293</v>
      </c>
      <c r="V11" s="646">
        <v>47084</v>
      </c>
      <c r="W11" s="645" t="s">
        <v>1289</v>
      </c>
      <c r="X11" s="957"/>
    </row>
    <row r="12" spans="1:24" s="274" customFormat="1" ht="10.7" customHeight="1">
      <c r="A12" s="278"/>
      <c r="B12" s="1306">
        <f>(B11/68.6)*10</f>
        <v>91644.606413994174</v>
      </c>
      <c r="C12" s="1306">
        <f>(C11/68.6)*10</f>
        <v>98698.542274052481</v>
      </c>
      <c r="D12" s="1306">
        <f>(D11/68.6)*10</f>
        <v>826.67638483965015</v>
      </c>
      <c r="E12" s="1306">
        <f>(E11/68.6)*10</f>
        <v>99525.218658892132</v>
      </c>
      <c r="F12" s="1306">
        <f>(F11/68.6)*10</f>
        <v>74058.600583090389</v>
      </c>
      <c r="G12" s="1306"/>
      <c r="H12" s="1306">
        <f>(H11/68.6)*10</f>
        <v>17586.005830903792</v>
      </c>
      <c r="I12" s="1306">
        <f>(I11/68.6)*10</f>
        <v>25466.618075801751</v>
      </c>
      <c r="J12" s="1306"/>
      <c r="K12" s="1306">
        <f>(K11/68.6)*10</f>
        <v>24012.973760932946</v>
      </c>
      <c r="L12" s="1307"/>
      <c r="M12" s="1307"/>
      <c r="N12" s="1307"/>
      <c r="O12" s="1307"/>
      <c r="P12" s="1307"/>
      <c r="Q12" s="1307"/>
      <c r="R12" s="1307"/>
      <c r="S12" s="1306">
        <f>S11/68.6</f>
        <v>637.30320699708454</v>
      </c>
      <c r="T12" s="1307"/>
      <c r="U12" s="1307"/>
      <c r="V12" s="1306">
        <f>V11/68.6</f>
        <v>686.3556851311954</v>
      </c>
      <c r="W12" s="1307"/>
      <c r="X12" s="1308"/>
    </row>
    <row r="13" spans="1:24" s="100" customFormat="1" ht="10.7" customHeight="1">
      <c r="A13" s="354" t="s">
        <v>85</v>
      </c>
      <c r="B13" s="324">
        <v>705072</v>
      </c>
      <c r="C13" s="646">
        <v>760973</v>
      </c>
      <c r="D13" s="646">
        <v>2407</v>
      </c>
      <c r="E13" s="646">
        <v>763380</v>
      </c>
      <c r="F13" s="646">
        <v>561714</v>
      </c>
      <c r="G13" s="323">
        <f>(F13/B13)*100</f>
        <v>79.667608414459806</v>
      </c>
      <c r="H13" s="646">
        <v>143358</v>
      </c>
      <c r="I13" s="646">
        <v>201662</v>
      </c>
      <c r="J13" s="323">
        <f>(I13/B13)*100</f>
        <v>28.601617990786753</v>
      </c>
      <c r="K13" s="646">
        <v>184772</v>
      </c>
      <c r="L13" s="323">
        <f>(K13/B13)*100</f>
        <v>26.206117956747683</v>
      </c>
      <c r="M13" s="645" t="s">
        <v>1266</v>
      </c>
      <c r="N13" s="645" t="s">
        <v>1271</v>
      </c>
      <c r="O13" s="645" t="s">
        <v>1275</v>
      </c>
      <c r="P13" s="645" t="s">
        <v>1279</v>
      </c>
      <c r="Q13" s="1292">
        <f>(B13/M13)*100</f>
        <v>122.60927631395899</v>
      </c>
      <c r="R13" s="645" t="s">
        <v>1284</v>
      </c>
      <c r="S13" s="646">
        <v>48359</v>
      </c>
      <c r="T13" s="645"/>
      <c r="U13" s="645" t="s">
        <v>1294</v>
      </c>
      <c r="V13" s="646">
        <v>52193</v>
      </c>
      <c r="W13" s="645" t="s">
        <v>1290</v>
      </c>
      <c r="X13" s="957"/>
    </row>
    <row r="14" spans="1:24" s="274" customFormat="1" ht="10.7" customHeight="1">
      <c r="A14" s="278"/>
      <c r="B14" s="1306">
        <f>(B13/68.8)*10</f>
        <v>102481.39534883722</v>
      </c>
      <c r="C14" s="1306">
        <f>(C13/68.8)*10</f>
        <v>110606.54069767443</v>
      </c>
      <c r="D14" s="1306">
        <f>(D13/68.8)*10</f>
        <v>349.85465116279073</v>
      </c>
      <c r="E14" s="1306">
        <f>(E13/68.8)*10</f>
        <v>110956.39534883722</v>
      </c>
      <c r="F14" s="1306">
        <f>(F13/68.8)*10</f>
        <v>81644.476744186046</v>
      </c>
      <c r="G14" s="1306"/>
      <c r="H14" s="1306">
        <f>(H13/68.8)*10</f>
        <v>20836.918604651164</v>
      </c>
      <c r="I14" s="1306">
        <f>(I13/68.8)*10</f>
        <v>29311.337209302328</v>
      </c>
      <c r="J14" s="1306"/>
      <c r="K14" s="1306">
        <f>(K13/68.8)*10</f>
        <v>26856.39534883721</v>
      </c>
      <c r="L14" s="1307"/>
      <c r="M14" s="1307"/>
      <c r="N14" s="1307"/>
      <c r="O14" s="1307"/>
      <c r="P14" s="1307"/>
      <c r="Q14" s="1307"/>
      <c r="R14" s="1307"/>
      <c r="S14" s="1306">
        <f>S13/68.8</f>
        <v>702.89244186046517</v>
      </c>
      <c r="T14" s="1307"/>
      <c r="U14" s="1307"/>
      <c r="V14" s="1306">
        <f>V13/68.8</f>
        <v>758.61918604651169</v>
      </c>
      <c r="W14" s="1307"/>
      <c r="X14" s="1308"/>
    </row>
    <row r="15" spans="1:24" s="100" customFormat="1" ht="10.7" customHeight="1">
      <c r="A15" s="354" t="s">
        <v>81</v>
      </c>
      <c r="B15" s="324">
        <v>797539</v>
      </c>
      <c r="C15" s="646">
        <v>862142</v>
      </c>
      <c r="D15" s="646">
        <v>4248</v>
      </c>
      <c r="E15" s="646">
        <v>866390</v>
      </c>
      <c r="F15" s="646">
        <v>631571</v>
      </c>
      <c r="G15" s="323">
        <f>(F15/B15)*100</f>
        <v>79.189983185775233</v>
      </c>
      <c r="H15" s="646">
        <v>165968</v>
      </c>
      <c r="I15" s="646">
        <v>234819</v>
      </c>
      <c r="J15" s="323">
        <f>(I15/B15)*100</f>
        <v>29.442948871465845</v>
      </c>
      <c r="K15" s="646">
        <v>209327</v>
      </c>
      <c r="L15" s="323">
        <f>(K15/B15)*100</f>
        <v>26.246616152940483</v>
      </c>
      <c r="M15" s="645" t="s">
        <v>1267</v>
      </c>
      <c r="N15" s="645" t="s">
        <v>1272</v>
      </c>
      <c r="O15" s="645" t="s">
        <v>1276</v>
      </c>
      <c r="P15" s="645" t="s">
        <v>1280</v>
      </c>
      <c r="Q15" s="1292">
        <f>(B15/M15)*100</f>
        <v>131.3692869508497</v>
      </c>
      <c r="R15" s="645" t="s">
        <v>1285</v>
      </c>
      <c r="S15" s="646">
        <v>53961</v>
      </c>
      <c r="T15" s="645"/>
      <c r="U15" s="645" t="s">
        <v>1295</v>
      </c>
      <c r="V15" s="646">
        <v>58332</v>
      </c>
      <c r="W15" s="645" t="s">
        <v>1291</v>
      </c>
      <c r="X15" s="958"/>
    </row>
    <row r="16" spans="1:24" s="274" customFormat="1" ht="10.7" customHeight="1">
      <c r="A16" s="278"/>
      <c r="B16" s="1306">
        <f>(B15/69.18)*10</f>
        <v>115284.61983232148</v>
      </c>
      <c r="C16" s="1306">
        <f>(C15/69.18)*10</f>
        <v>124623.01243133852</v>
      </c>
      <c r="D16" s="1306">
        <f>(D15/69.18)*10</f>
        <v>614.0503035559409</v>
      </c>
      <c r="E16" s="1306">
        <f>(E15/69.18)*10</f>
        <v>125237.06273489445</v>
      </c>
      <c r="F16" s="1306">
        <f>(F15/69.18)*10</f>
        <v>91293.871061000274</v>
      </c>
      <c r="G16" s="1306"/>
      <c r="H16" s="1306">
        <f>(H15/69.18)*10</f>
        <v>23990.748771321189</v>
      </c>
      <c r="I16" s="1306">
        <f>(I15/69.18)*10</f>
        <v>33943.191673894187</v>
      </c>
      <c r="J16" s="1306"/>
      <c r="K16" s="1306">
        <f>(K15/69.18)*10</f>
        <v>30258.311650766114</v>
      </c>
      <c r="L16" s="1307"/>
      <c r="M16" s="1307"/>
      <c r="N16" s="1307"/>
      <c r="O16" s="1307"/>
      <c r="P16" s="1307"/>
      <c r="Q16" s="1307"/>
      <c r="R16" s="1307"/>
      <c r="S16" s="1306">
        <f>S15/69.18</f>
        <v>780.0086730268863</v>
      </c>
      <c r="T16" s="1307"/>
      <c r="U16" s="1307"/>
      <c r="V16" s="1306">
        <f>V15/69.18</f>
        <v>843.19167389418897</v>
      </c>
      <c r="W16" s="1307"/>
      <c r="X16" s="1309"/>
    </row>
    <row r="17" spans="1:24" s="100" customFormat="1" ht="10.7" customHeight="1">
      <c r="A17" s="354" t="s">
        <v>199</v>
      </c>
      <c r="B17" s="646">
        <v>915829</v>
      </c>
      <c r="C17" s="646">
        <v>988342</v>
      </c>
      <c r="D17" s="646">
        <v>3102</v>
      </c>
      <c r="E17" s="646">
        <v>991444</v>
      </c>
      <c r="F17" s="646">
        <v>726966</v>
      </c>
      <c r="G17" s="323">
        <f>(F17/B17)*100</f>
        <v>79.377918803619451</v>
      </c>
      <c r="H17" s="646">
        <v>188863</v>
      </c>
      <c r="I17" s="646">
        <v>264478</v>
      </c>
      <c r="J17" s="323">
        <f>(I17/B17)*100</f>
        <v>28.878535185061839</v>
      </c>
      <c r="K17" s="646">
        <v>251129</v>
      </c>
      <c r="L17" s="323">
        <f>(K17/B17)*100</f>
        <v>27.420948670548761</v>
      </c>
      <c r="M17" s="645" t="s">
        <v>1156</v>
      </c>
      <c r="N17" s="645" t="s">
        <v>1179</v>
      </c>
      <c r="O17" s="645" t="s">
        <v>1157</v>
      </c>
      <c r="P17" s="645" t="s">
        <v>1158</v>
      </c>
      <c r="Q17" s="1292">
        <f>(B17/M17)*100</f>
        <v>141.694180480303</v>
      </c>
      <c r="R17" s="645" t="s">
        <v>903</v>
      </c>
      <c r="S17" s="646">
        <v>61198</v>
      </c>
      <c r="T17" s="645"/>
      <c r="U17" s="1292">
        <v>43190</v>
      </c>
      <c r="V17" s="646">
        <v>66044</v>
      </c>
      <c r="W17" s="645" t="s">
        <v>1182</v>
      </c>
      <c r="X17" s="958"/>
    </row>
    <row r="18" spans="1:24" s="278" customFormat="1" ht="10.7" customHeight="1">
      <c r="B18" s="1306">
        <f>(B17/71.17)*10</f>
        <v>128681.88843613882</v>
      </c>
      <c r="C18" s="1306">
        <f>(C17/71.17)*10</f>
        <v>138870.59154137981</v>
      </c>
      <c r="D18" s="1306">
        <f>(D17/71.17)*10</f>
        <v>435.85780525502315</v>
      </c>
      <c r="E18" s="1306">
        <f>(E17/71.17)*10</f>
        <v>139306.44934663482</v>
      </c>
      <c r="F18" s="1306">
        <f>(F17/71.17)*10</f>
        <v>102145.00491780243</v>
      </c>
      <c r="G18" s="1306"/>
      <c r="H18" s="1306">
        <f>(H17/71.17)*10</f>
        <v>26536.883518336377</v>
      </c>
      <c r="I18" s="1306">
        <f>(I17/71.17)*10</f>
        <v>37161.444428832372</v>
      </c>
      <c r="J18" s="1306"/>
      <c r="K18" s="1306">
        <f>(K17/71.17)*10</f>
        <v>35285.794576366447</v>
      </c>
      <c r="L18" s="1307"/>
      <c r="M18" s="1307"/>
      <c r="N18" s="1307"/>
      <c r="O18" s="1307"/>
      <c r="P18" s="1307"/>
      <c r="Q18" s="1307"/>
      <c r="R18" s="1307"/>
      <c r="S18" s="1306">
        <f>S17/71.17</f>
        <v>859.88478291414924</v>
      </c>
      <c r="T18" s="1307"/>
      <c r="U18" s="1307"/>
      <c r="V18" s="1306">
        <f>V17/71.17</f>
        <v>927.97527047913445</v>
      </c>
      <c r="W18" s="1307"/>
      <c r="X18" s="961"/>
    </row>
    <row r="19" spans="1:24" s="100" customFormat="1" ht="10.7" customHeight="1">
      <c r="A19" s="354" t="s">
        <v>792</v>
      </c>
      <c r="B19" s="646">
        <v>1055204</v>
      </c>
      <c r="C19" s="646">
        <v>1144506</v>
      </c>
      <c r="D19" s="646">
        <v>1791</v>
      </c>
      <c r="E19" s="646">
        <v>1146297</v>
      </c>
      <c r="F19" s="646">
        <v>831250</v>
      </c>
      <c r="G19" s="323">
        <f>(F19/B19)*100</f>
        <v>78.776236632916479</v>
      </c>
      <c r="H19" s="646">
        <v>223954</v>
      </c>
      <c r="I19" s="646">
        <v>315047</v>
      </c>
      <c r="J19" s="323">
        <f>(I19/B19)*100</f>
        <v>29.856501681191506</v>
      </c>
      <c r="K19" s="646">
        <v>298225</v>
      </c>
      <c r="L19" s="323">
        <f>(K19/B19)*100</f>
        <v>28.262307572753702</v>
      </c>
      <c r="M19" s="645" t="s">
        <v>1159</v>
      </c>
      <c r="N19" s="645" t="s">
        <v>1178</v>
      </c>
      <c r="O19" s="645" t="s">
        <v>1160</v>
      </c>
      <c r="P19" s="645" t="s">
        <v>1161</v>
      </c>
      <c r="Q19" s="1292">
        <f>(B19/M19)*100</f>
        <v>153.26285089318264</v>
      </c>
      <c r="R19" s="645" t="s">
        <v>904</v>
      </c>
      <c r="S19" s="646">
        <v>69614</v>
      </c>
      <c r="T19" s="645"/>
      <c r="U19" s="1292">
        <v>45421</v>
      </c>
      <c r="V19" s="646">
        <v>75505</v>
      </c>
      <c r="W19" s="645" t="s">
        <v>1181</v>
      </c>
      <c r="X19" s="957"/>
    </row>
    <row r="20" spans="1:24" s="274" customFormat="1" ht="10.7" customHeight="1">
      <c r="A20" s="278"/>
      <c r="B20" s="1306">
        <f>(B19/79.1)*10</f>
        <v>133401.26422250317</v>
      </c>
      <c r="C20" s="1306">
        <f>(C19/79.1)*10</f>
        <v>144691.02402022757</v>
      </c>
      <c r="D20" s="1306">
        <f>(D19/79.1)*10</f>
        <v>226.42225031605562</v>
      </c>
      <c r="E20" s="1306">
        <f>(E19/79.1)*10</f>
        <v>144917.44627054362</v>
      </c>
      <c r="F20" s="1306">
        <f>(F19/79.1)*10</f>
        <v>105088.49557522124</v>
      </c>
      <c r="G20" s="1306"/>
      <c r="H20" s="1306">
        <f>(H19/79.1)*10</f>
        <v>28312.768647281922</v>
      </c>
      <c r="I20" s="1306">
        <f>(I19/79.1)*10</f>
        <v>39828.950695322375</v>
      </c>
      <c r="J20" s="1306"/>
      <c r="K20" s="1306">
        <f>(K19/79.1)*10</f>
        <v>37702.275600505687</v>
      </c>
      <c r="L20" s="1307"/>
      <c r="M20" s="1307"/>
      <c r="N20" s="1307"/>
      <c r="O20" s="1307"/>
      <c r="P20" s="1307"/>
      <c r="Q20" s="1307"/>
      <c r="R20" s="1307"/>
      <c r="S20" s="1306">
        <f>S19/79.1</f>
        <v>880.07585335018973</v>
      </c>
      <c r="T20" s="1307"/>
      <c r="U20" s="1307"/>
      <c r="V20" s="1306">
        <f>V19/79.1</f>
        <v>954.55120101137811</v>
      </c>
      <c r="W20" s="1307"/>
      <c r="X20" s="1308"/>
    </row>
    <row r="21" spans="1:24" s="100" customFormat="1" ht="10.7" customHeight="1">
      <c r="A21" s="354" t="s">
        <v>908</v>
      </c>
      <c r="B21" s="324">
        <v>1198923</v>
      </c>
      <c r="C21" s="646">
        <v>1295352</v>
      </c>
      <c r="D21" s="646">
        <v>5375</v>
      </c>
      <c r="E21" s="646">
        <v>1300727</v>
      </c>
      <c r="F21" s="646">
        <v>934727</v>
      </c>
      <c r="G21" s="323">
        <f>(F21/B21)*100</f>
        <v>77.963889257275071</v>
      </c>
      <c r="H21" s="646">
        <v>264196</v>
      </c>
      <c r="I21" s="646">
        <v>365999.9</v>
      </c>
      <c r="J21" s="323">
        <f>(I21/B21)*100</f>
        <v>30.527389999190941</v>
      </c>
      <c r="K21" s="646">
        <v>340370</v>
      </c>
      <c r="L21" s="323">
        <f>(K21/B21)*100</f>
        <v>28.38964637428759</v>
      </c>
      <c r="M21" s="645" t="s">
        <v>1162</v>
      </c>
      <c r="N21" s="645" t="s">
        <v>1177</v>
      </c>
      <c r="O21" s="645" t="s">
        <v>1164</v>
      </c>
      <c r="P21" s="645" t="s">
        <v>1163</v>
      </c>
      <c r="Q21" s="1292">
        <f>(B21/M21)*100</f>
        <v>164.25920369586393</v>
      </c>
      <c r="R21" s="645" t="s">
        <v>1165</v>
      </c>
      <c r="S21" s="646">
        <v>78009</v>
      </c>
      <c r="T21" s="645"/>
      <c r="U21" s="1292">
        <v>47491</v>
      </c>
      <c r="V21" s="646">
        <v>84283</v>
      </c>
      <c r="W21" s="645" t="s">
        <v>1180</v>
      </c>
      <c r="X21" s="957"/>
    </row>
    <row r="22" spans="1:24" s="278" customFormat="1" ht="10.7" customHeight="1">
      <c r="B22" s="1306">
        <f>(B21/79.93)*10</f>
        <v>149996.62204428873</v>
      </c>
      <c r="C22" s="1306">
        <f>(C21/79.93)*10</f>
        <v>162060.80320280243</v>
      </c>
      <c r="D22" s="1306">
        <f>(D21/79.93)*10</f>
        <v>672.46340547979469</v>
      </c>
      <c r="E22" s="1306">
        <f>(E21/79.93)*10</f>
        <v>162733.26660828223</v>
      </c>
      <c r="F22" s="1306">
        <f>(F21/79.93)*10</f>
        <v>116943.20030026272</v>
      </c>
      <c r="G22" s="1306"/>
      <c r="H22" s="1306">
        <f>(H21/79.93)*10</f>
        <v>33053.421744026018</v>
      </c>
      <c r="I22" s="1306">
        <f>(I21/79.93)*10</f>
        <v>45790.05379707244</v>
      </c>
      <c r="J22" s="1306"/>
      <c r="K22" s="1306">
        <f>(K21/79.93)*10</f>
        <v>42583.510571750274</v>
      </c>
      <c r="L22" s="1307"/>
      <c r="M22" s="1307"/>
      <c r="N22" s="1307"/>
      <c r="O22" s="1307"/>
      <c r="P22" s="1307"/>
      <c r="Q22" s="1307"/>
      <c r="R22" s="1307"/>
      <c r="S22" s="1306">
        <f>S21/79.93</f>
        <v>975.96647066182902</v>
      </c>
      <c r="T22" s="1307"/>
      <c r="U22" s="1307"/>
      <c r="V22" s="1306">
        <f>V21/79.93</f>
        <v>1054.4601526335543</v>
      </c>
      <c r="W22" s="1307"/>
      <c r="X22" s="961"/>
    </row>
    <row r="23" spans="1:24" s="382" customFormat="1" ht="10.7" customHeight="1">
      <c r="A23" s="354" t="s">
        <v>1108</v>
      </c>
      <c r="B23" s="324">
        <v>1343674</v>
      </c>
      <c r="C23" s="646">
        <v>1433224</v>
      </c>
      <c r="D23" s="646">
        <v>6334</v>
      </c>
      <c r="E23" s="646">
        <v>1439558</v>
      </c>
      <c r="F23" s="646">
        <v>1046856</v>
      </c>
      <c r="G23" s="323">
        <f>(F23/B23)*100</f>
        <v>77.909969233608749</v>
      </c>
      <c r="H23" s="646">
        <v>296817</v>
      </c>
      <c r="I23" s="646">
        <v>392701</v>
      </c>
      <c r="J23" s="323">
        <f>(I23/B23)*100</f>
        <v>29.225913428405999</v>
      </c>
      <c r="K23" s="646">
        <v>383994</v>
      </c>
      <c r="L23" s="323">
        <f>(K23/B23)*100</f>
        <v>28.577913988065557</v>
      </c>
      <c r="M23" s="645" t="s">
        <v>1259</v>
      </c>
      <c r="N23" s="645">
        <v>825728</v>
      </c>
      <c r="O23" s="645" t="s">
        <v>1260</v>
      </c>
      <c r="P23" s="645" t="s">
        <v>1261</v>
      </c>
      <c r="Q23" s="1292">
        <f>(B23/M23)*100</f>
        <v>173.57079376233634</v>
      </c>
      <c r="R23" s="645" t="s">
        <v>1166</v>
      </c>
      <c r="S23" s="646">
        <v>86266</v>
      </c>
      <c r="T23" s="645"/>
      <c r="U23" s="1292">
        <v>49701</v>
      </c>
      <c r="V23" s="646">
        <v>92015</v>
      </c>
      <c r="W23" s="645" t="s">
        <v>1323</v>
      </c>
      <c r="X23" s="960"/>
    </row>
    <row r="24" spans="1:24" s="278" customFormat="1" ht="10.7" customHeight="1">
      <c r="B24" s="1306">
        <f>(B23/77.72)*10</f>
        <v>172886.51569737517</v>
      </c>
      <c r="C24" s="1306">
        <f>(C23/77.72)*10</f>
        <v>184408.64642305713</v>
      </c>
      <c r="D24" s="1306">
        <f>(D23/77.72)*10</f>
        <v>814.97683993823989</v>
      </c>
      <c r="E24" s="1306">
        <f>(E23/77.72)*10</f>
        <v>185223.62326299539</v>
      </c>
      <c r="F24" s="1306">
        <f>(F23/77.72)*10</f>
        <v>134695.83118888317</v>
      </c>
      <c r="G24" s="1306"/>
      <c r="H24" s="1306">
        <f>(H23/77.72)*10</f>
        <v>38190.555841482244</v>
      </c>
      <c r="I24" s="1306">
        <f>(I23/77.72)*10</f>
        <v>50527.663407102416</v>
      </c>
      <c r="J24" s="1306"/>
      <c r="K24" s="1306">
        <f>(K23/77.72)*10</f>
        <v>49407.359752959346</v>
      </c>
      <c r="L24" s="1307"/>
      <c r="M24" s="1307"/>
      <c r="N24" s="1307"/>
      <c r="O24" s="1307"/>
      <c r="P24" s="1307"/>
      <c r="Q24" s="1307"/>
      <c r="R24" s="1307"/>
      <c r="S24" s="1306">
        <f>S23/77.72</f>
        <v>1109.9588265568709</v>
      </c>
      <c r="T24" s="1307"/>
      <c r="U24" s="1307"/>
      <c r="V24" s="1306">
        <f>V23/77.72</f>
        <v>1183.9294904786414</v>
      </c>
      <c r="W24" s="1307"/>
      <c r="X24" s="961"/>
    </row>
    <row r="25" spans="1:24" s="382" customFormat="1" ht="10.7" customHeight="1">
      <c r="A25" s="354" t="s">
        <v>1167</v>
      </c>
      <c r="B25" s="324">
        <v>1515802</v>
      </c>
      <c r="C25" s="646">
        <v>1614204</v>
      </c>
      <c r="D25" s="646">
        <v>5600</v>
      </c>
      <c r="E25" s="646">
        <v>1619804</v>
      </c>
      <c r="F25" s="646">
        <v>1179924</v>
      </c>
      <c r="G25" s="323">
        <f>(F25/B25)*100</f>
        <v>77.84156505928874</v>
      </c>
      <c r="H25" s="646">
        <v>335879</v>
      </c>
      <c r="I25" s="646">
        <v>439881</v>
      </c>
      <c r="J25" s="323">
        <f>(I25/B25)*100</f>
        <v>29.01968726786216</v>
      </c>
      <c r="K25" s="646">
        <v>437865</v>
      </c>
      <c r="L25" s="323">
        <f>(K25/B25)*100</f>
        <v>28.886688366950303</v>
      </c>
      <c r="M25" s="645" t="s">
        <v>1319</v>
      </c>
      <c r="N25" s="645" t="s">
        <v>1320</v>
      </c>
      <c r="O25" s="645" t="s">
        <v>1321</v>
      </c>
      <c r="P25" s="645" t="s">
        <v>1322</v>
      </c>
      <c r="Q25" s="1292">
        <f>(B25/M25)*100</f>
        <v>183.76431451564019</v>
      </c>
      <c r="R25" s="645" t="s">
        <v>1262</v>
      </c>
      <c r="S25" s="646">
        <v>96004</v>
      </c>
      <c r="T25" s="645"/>
      <c r="U25" s="646">
        <v>52240</v>
      </c>
      <c r="V25" s="646">
        <v>102236</v>
      </c>
      <c r="W25" s="645" t="s">
        <v>1353</v>
      </c>
      <c r="X25" s="959"/>
    </row>
    <row r="26" spans="1:24" s="278" customFormat="1" ht="10.7" customHeight="1">
      <c r="B26" s="1306">
        <f>(B25/77.67)*10</f>
        <v>195159.26355092056</v>
      </c>
      <c r="C26" s="1306">
        <f>(C25/77.67)*10</f>
        <v>207828.50521436849</v>
      </c>
      <c r="D26" s="1306">
        <f>(D25/77.67)*10</f>
        <v>720.99909875112655</v>
      </c>
      <c r="E26" s="1306">
        <f>(E25/77.67)*10</f>
        <v>208549.50431311963</v>
      </c>
      <c r="F26" s="1306">
        <f>(F25/77.67)*10</f>
        <v>151915.02510621861</v>
      </c>
      <c r="G26" s="1306"/>
      <c r="H26" s="1306">
        <f>(H25/77.67)*10</f>
        <v>43244.36719454101</v>
      </c>
      <c r="I26" s="1306">
        <f>(I25/77.67)*10</f>
        <v>56634.607956740059</v>
      </c>
      <c r="J26" s="1306"/>
      <c r="K26" s="1306">
        <f>(K25/77.67)*10</f>
        <v>56375.048281189651</v>
      </c>
      <c r="L26" s="1307"/>
      <c r="M26" s="1307"/>
      <c r="N26" s="1307"/>
      <c r="O26" s="1307"/>
      <c r="P26" s="1307"/>
      <c r="Q26" s="1307"/>
      <c r="R26" s="1307"/>
      <c r="S26" s="1306">
        <f>S25/77.67</f>
        <v>1236.0499549375563</v>
      </c>
      <c r="T26" s="1307"/>
      <c r="U26" s="1307"/>
      <c r="V26" s="1306">
        <f>V25/77.67</f>
        <v>1316.2868546414318</v>
      </c>
      <c r="W26" s="1307"/>
      <c r="X26" s="961"/>
    </row>
    <row r="27" spans="1:24" s="382" customFormat="1" ht="10.7" customHeight="1">
      <c r="A27" s="1310" t="s">
        <v>1299</v>
      </c>
      <c r="B27" s="646">
        <v>1732864</v>
      </c>
      <c r="C27" s="646">
        <v>1832675</v>
      </c>
      <c r="D27" s="646">
        <v>583</v>
      </c>
      <c r="E27" s="646">
        <v>1833258</v>
      </c>
      <c r="F27" s="646">
        <v>1300034</v>
      </c>
      <c r="G27" s="323">
        <f>(F27/B27)*100</f>
        <v>75.022275262224852</v>
      </c>
      <c r="H27" s="646">
        <v>432830</v>
      </c>
      <c r="I27" s="646">
        <v>533224</v>
      </c>
      <c r="J27" s="323">
        <f>(I27/B27)*100</f>
        <v>30.771254985965431</v>
      </c>
      <c r="K27" s="646">
        <v>513839</v>
      </c>
      <c r="L27" s="323">
        <f>(K27/B27)*100</f>
        <v>29.652586700398874</v>
      </c>
      <c r="M27" s="646">
        <v>883539</v>
      </c>
      <c r="N27" s="646">
        <v>934430</v>
      </c>
      <c r="O27" s="323">
        <v>14.32</v>
      </c>
      <c r="P27" s="646">
        <v>7.11</v>
      </c>
      <c r="Q27" s="1292">
        <f>(B27/M27)*100</f>
        <v>196.12761858842677</v>
      </c>
      <c r="R27" s="646">
        <v>15.99</v>
      </c>
      <c r="S27" s="646">
        <v>108378</v>
      </c>
      <c r="T27" s="646"/>
      <c r="U27" s="646">
        <v>55259</v>
      </c>
      <c r="V27" s="646">
        <v>114621</v>
      </c>
      <c r="W27" s="646">
        <v>58442</v>
      </c>
      <c r="X27" s="959"/>
    </row>
    <row r="28" spans="1:24" s="278" customFormat="1" ht="10.7" customHeight="1">
      <c r="B28" s="1306">
        <f>(B27/78.2658)*10</f>
        <v>221407.56243467773</v>
      </c>
      <c r="C28" s="1306">
        <f>(C27/78.2658)*10</f>
        <v>234160.38678452146</v>
      </c>
      <c r="D28" s="1306">
        <f>(D27/78.2658)*10</f>
        <v>74.489751590094272</v>
      </c>
      <c r="E28" s="1306">
        <f>(E27/78.2658)*10</f>
        <v>234234.87653611155</v>
      </c>
      <c r="F28" s="1306">
        <f>(F27/78.2658)*10</f>
        <v>166104.99094112628</v>
      </c>
      <c r="G28" s="1306"/>
      <c r="H28" s="1306">
        <f>(H27/78.2658)*10</f>
        <v>55302.571493551455</v>
      </c>
      <c r="I28" s="1306">
        <f>(I27/78.2658)*10</f>
        <v>68129.885594985302</v>
      </c>
      <c r="J28" s="1306"/>
      <c r="K28" s="1306">
        <f>(K27/78.2658)*10</f>
        <v>65653.06941218258</v>
      </c>
      <c r="L28" s="1307"/>
      <c r="M28" s="1307"/>
      <c r="N28" s="1307"/>
      <c r="O28" s="1307"/>
      <c r="P28" s="1307"/>
      <c r="Q28" s="1307"/>
      <c r="R28" s="1307"/>
      <c r="S28" s="1306">
        <f>(S27/78.2658)</f>
        <v>1384.742761206044</v>
      </c>
      <c r="T28" s="1307"/>
      <c r="U28" s="1307"/>
      <c r="V28" s="1306">
        <f>(V27/78.2658)</f>
        <v>1464.5094025743044</v>
      </c>
      <c r="W28" s="1307"/>
      <c r="X28" s="961"/>
    </row>
    <row r="29" spans="1:24" s="382" customFormat="1" ht="10.7" customHeight="1">
      <c r="A29" s="354" t="s">
        <v>1332</v>
      </c>
      <c r="B29" s="646">
        <v>1975817</v>
      </c>
      <c r="C29" s="646">
        <v>2060718</v>
      </c>
      <c r="D29" s="646">
        <v>353</v>
      </c>
      <c r="E29" s="646">
        <v>2061069</v>
      </c>
      <c r="F29" s="646">
        <v>1475356</v>
      </c>
      <c r="G29" s="323">
        <f>(F29/B29)*100</f>
        <v>74.670680533672908</v>
      </c>
      <c r="H29" s="646">
        <v>500460</v>
      </c>
      <c r="I29" s="646">
        <v>585714</v>
      </c>
      <c r="J29" s="323">
        <f>(I29/B29)*100</f>
        <v>29.644142144743164</v>
      </c>
      <c r="K29" s="646">
        <v>602830</v>
      </c>
      <c r="L29" s="323">
        <f>(K29/B29)*100</f>
        <v>30.510416703571231</v>
      </c>
      <c r="M29" s="646">
        <v>947899</v>
      </c>
      <c r="N29" s="646">
        <v>988630</v>
      </c>
      <c r="O29" s="646">
        <v>14.02</v>
      </c>
      <c r="P29" s="646">
        <v>7.28</v>
      </c>
      <c r="Q29" s="1292">
        <f>(B29/M29)*100</f>
        <v>208.44172216660212</v>
      </c>
      <c r="R29" s="323">
        <v>16.175000000000001</v>
      </c>
      <c r="S29" s="646">
        <v>122152</v>
      </c>
      <c r="T29" s="646"/>
      <c r="U29" s="324">
        <f>M29/R29</f>
        <v>58602.720247295205</v>
      </c>
      <c r="V29" s="324">
        <f>C29/R29</f>
        <v>127401.42194744977</v>
      </c>
      <c r="W29" s="324">
        <f>N29/R29</f>
        <v>61120.865533230288</v>
      </c>
      <c r="X29" s="959"/>
    </row>
    <row r="30" spans="1:24" s="278" customFormat="1" ht="10.7" customHeight="1">
      <c r="B30" s="1306">
        <f>(B29/79.119175)*10</f>
        <v>249726.69393986985</v>
      </c>
      <c r="C30" s="1306">
        <f>(C29/79.119175)*10</f>
        <v>260457.46811692615</v>
      </c>
      <c r="D30" s="1306">
        <f>(D29/79.119175)*10</f>
        <v>44.616238731002944</v>
      </c>
      <c r="E30" s="1306">
        <f>(E29/79.119175)*10</f>
        <v>260501.83157243489</v>
      </c>
      <c r="F30" s="1306">
        <f>(F29/79.119175)*10</f>
        <v>186472.62183914328</v>
      </c>
      <c r="G30" s="1306"/>
      <c r="H30" s="1306">
        <f>(H29/79.119175)*10</f>
        <v>63253.945709115396</v>
      </c>
      <c r="I30" s="1306">
        <f>(I29/79.119175)*10</f>
        <v>74029.336124902722</v>
      </c>
      <c r="J30" s="1306"/>
      <c r="K30" s="1306">
        <f>(K29/79.119175)*10</f>
        <v>76192.654941106244</v>
      </c>
      <c r="L30" s="1307"/>
      <c r="M30" s="1307"/>
      <c r="N30" s="1307"/>
      <c r="O30" s="1307"/>
      <c r="P30" s="1307"/>
      <c r="Q30" s="1307"/>
      <c r="R30" s="1307"/>
      <c r="S30" s="1306">
        <f>(S29/79.119175)</f>
        <v>1543.8988083482923</v>
      </c>
      <c r="T30" s="1307"/>
      <c r="U30" s="1307"/>
      <c r="V30" s="1306">
        <f>(V29/79.119175)</f>
        <v>1610.2470980953703</v>
      </c>
      <c r="W30" s="1307"/>
      <c r="X30" s="961"/>
    </row>
    <row r="31" spans="1:24" s="382" customFormat="1" ht="10.7" customHeight="1">
      <c r="A31" s="354" t="s">
        <v>1471</v>
      </c>
      <c r="B31" s="646">
        <v>2250481</v>
      </c>
      <c r="C31" s="646">
        <v>2353109</v>
      </c>
      <c r="D31" s="646">
        <v>495</v>
      </c>
      <c r="E31" s="646">
        <v>2353603</v>
      </c>
      <c r="F31" s="646">
        <v>1736587</v>
      </c>
      <c r="G31" s="323">
        <f>(F31/B31)*100</f>
        <v>77.165148250529555</v>
      </c>
      <c r="H31" s="646">
        <v>513892</v>
      </c>
      <c r="I31" s="646">
        <v>617016</v>
      </c>
      <c r="J31" s="323">
        <f>(I31/B31)*100</f>
        <v>27.41707217257111</v>
      </c>
      <c r="K31" s="646">
        <v>702936</v>
      </c>
      <c r="L31" s="323">
        <f>(K31/B31)*100</f>
        <v>31.234922667643051</v>
      </c>
      <c r="M31" s="646">
        <v>1022438</v>
      </c>
      <c r="N31" s="646">
        <v>1069064</v>
      </c>
      <c r="O31" s="323">
        <v>13.9</v>
      </c>
      <c r="P31" s="646">
        <v>7.86</v>
      </c>
      <c r="Q31" s="1292">
        <f>(B31/M31)*100</f>
        <v>220.10928780033606</v>
      </c>
      <c r="R31" s="323">
        <v>16.364999999999998</v>
      </c>
      <c r="S31" s="324">
        <f>B31/R31</f>
        <v>137517.93461655974</v>
      </c>
      <c r="T31" s="646"/>
      <c r="U31" s="324">
        <f>M31/R31</f>
        <v>62477.115795905906</v>
      </c>
      <c r="V31" s="646">
        <f>ROUND((C31/R31),0)</f>
        <v>143789</v>
      </c>
      <c r="W31" s="324">
        <f>N31/R31</f>
        <v>65326.245035135966</v>
      </c>
      <c r="X31" s="959"/>
    </row>
    <row r="32" spans="1:24" s="278" customFormat="1" ht="10.7" customHeight="1">
      <c r="B32" s="1306">
        <f>(B31/82.100874)*10</f>
        <v>274111.69825061789</v>
      </c>
      <c r="C32" s="1306">
        <f>(C31/82.100874)*10</f>
        <v>286611.93058675597</v>
      </c>
      <c r="D32" s="1306">
        <f>(D31/82.100874)*10</f>
        <v>60.291684592785217</v>
      </c>
      <c r="E32" s="1306">
        <f>(E31/82.100874)*10</f>
        <v>286672.10046996572</v>
      </c>
      <c r="F32" s="1306">
        <f>(F31/82.100874)*10</f>
        <v>211518.69832713349</v>
      </c>
      <c r="G32" s="1306"/>
      <c r="H32" s="1306">
        <f>(H31/82.100874)*10</f>
        <v>62592.756320718334</v>
      </c>
      <c r="I32" s="1306">
        <f>(I31/82.100874)*10</f>
        <v>75153.40214283223</v>
      </c>
      <c r="J32" s="1306"/>
      <c r="K32" s="1306">
        <f>(K31/82.100874)*10</f>
        <v>85618.576971543574</v>
      </c>
      <c r="L32" s="1307"/>
      <c r="M32" s="1307"/>
      <c r="N32" s="1307"/>
      <c r="O32" s="1307"/>
      <c r="P32" s="1307"/>
      <c r="Q32" s="1307"/>
      <c r="R32" s="1307"/>
      <c r="S32" s="1306">
        <f>(S31/82.100874)</f>
        <v>1674.9874625763391</v>
      </c>
      <c r="T32" s="1307"/>
      <c r="U32" s="1307"/>
      <c r="V32" s="1306">
        <f>(V31/82.100874)</f>
        <v>1751.369906244847</v>
      </c>
      <c r="W32" s="1307"/>
      <c r="X32" s="961"/>
    </row>
    <row r="33" spans="1:24" s="382" customFormat="1" ht="10.7" customHeight="1">
      <c r="A33" s="438" t="s">
        <v>1600</v>
      </c>
      <c r="B33" s="646">
        <v>2542484</v>
      </c>
      <c r="C33" s="646">
        <v>2656094</v>
      </c>
      <c r="D33" s="646">
        <v>215</v>
      </c>
      <c r="E33" s="646">
        <v>2656307</v>
      </c>
      <c r="F33" s="646">
        <v>1906266</v>
      </c>
      <c r="G33" s="323">
        <f>(F33/B33)*100</f>
        <v>74.976519026275085</v>
      </c>
      <c r="H33" s="646">
        <v>636217</v>
      </c>
      <c r="I33" s="646">
        <v>750041</v>
      </c>
      <c r="J33" s="323">
        <f>(I33/B33)*100</f>
        <v>29.500323305869379</v>
      </c>
      <c r="K33" s="646">
        <v>802670</v>
      </c>
      <c r="L33" s="323">
        <f>(K33/B33)*100</f>
        <v>31.570306833789317</v>
      </c>
      <c r="M33" s="646">
        <v>1105794</v>
      </c>
      <c r="N33" s="646">
        <v>1155206</v>
      </c>
      <c r="O33" s="646">
        <v>12.98</v>
      </c>
      <c r="P33" s="646">
        <v>8.15</v>
      </c>
      <c r="Q33" s="1292">
        <f>(B33/M33)*100</f>
        <v>229.92383753212624</v>
      </c>
      <c r="R33" s="323">
        <v>16.555</v>
      </c>
      <c r="S33" s="324">
        <f>B33/R33</f>
        <v>153578.01268498943</v>
      </c>
      <c r="T33" s="646"/>
      <c r="U33" s="324">
        <f>M33/R33</f>
        <v>66795.167623074594</v>
      </c>
      <c r="V33" s="646">
        <f>ROUND((C33/R33),0)</f>
        <v>160441</v>
      </c>
      <c r="W33" s="324">
        <f>N33/R33</f>
        <v>69779.885231048029</v>
      </c>
      <c r="X33" s="959"/>
    </row>
    <row r="34" spans="1:24" s="278" customFormat="1" ht="10.7" customHeight="1">
      <c r="B34" s="1306">
        <f>(B33/84.03)*10</f>
        <v>302568.60645007738</v>
      </c>
      <c r="C34" s="1306">
        <f>(C33/84.03)*10</f>
        <v>316088.77781744616</v>
      </c>
      <c r="D34" s="1306">
        <f>(D33/84.03)*10</f>
        <v>25.586100202308696</v>
      </c>
      <c r="E34" s="1306">
        <f>(E33/84.03)*10</f>
        <v>316114.12590741401</v>
      </c>
      <c r="F34" s="1306">
        <f>(F33/84.03)*10</f>
        <v>226855.40878257767</v>
      </c>
      <c r="G34" s="1306"/>
      <c r="H34" s="1306">
        <f>(H33/84.03)*10</f>
        <v>75713.078662382482</v>
      </c>
      <c r="I34" s="1306">
        <f>(I33/84.03)*10</f>
        <v>89258.717124836374</v>
      </c>
      <c r="J34" s="1306"/>
      <c r="K34" s="1306">
        <f>(K33/84.03)*10</f>
        <v>95521.837439009862</v>
      </c>
      <c r="L34" s="1307"/>
      <c r="M34" s="1307"/>
      <c r="N34" s="1307"/>
      <c r="O34" s="1307"/>
      <c r="P34" s="1307"/>
      <c r="Q34" s="1307"/>
      <c r="R34" s="1307"/>
      <c r="S34" s="1306">
        <f>(S33/84.03)</f>
        <v>1827.6569401998029</v>
      </c>
      <c r="T34" s="1307"/>
      <c r="U34" s="1307"/>
      <c r="V34" s="1306">
        <f>(V33/84.03)</f>
        <v>1909.3300011900512</v>
      </c>
      <c r="W34" s="1307"/>
      <c r="X34" s="961"/>
    </row>
    <row r="35" spans="1:24" s="382" customFormat="1" ht="10.7" customHeight="1">
      <c r="A35" s="354" t="s">
        <v>1695</v>
      </c>
      <c r="B35" s="646">
        <v>2739332</v>
      </c>
      <c r="C35" s="646">
        <v>2873230</v>
      </c>
      <c r="D35" s="646">
        <v>205</v>
      </c>
      <c r="E35" s="646">
        <v>2873435</v>
      </c>
      <c r="F35" s="646">
        <v>2088081</v>
      </c>
      <c r="G35" s="323">
        <f>(F35/B35)*100</f>
        <v>76.225919311715401</v>
      </c>
      <c r="H35" s="646">
        <v>651252</v>
      </c>
      <c r="I35" s="646">
        <v>785354</v>
      </c>
      <c r="J35" s="323">
        <f>(I35/B35)*100</f>
        <v>28.669544253854589</v>
      </c>
      <c r="K35" s="646">
        <v>834631</v>
      </c>
      <c r="L35" s="323">
        <f>(K35/B35)*100</f>
        <v>30.46841346722486</v>
      </c>
      <c r="M35" s="646">
        <v>1144597</v>
      </c>
      <c r="N35" s="646">
        <v>1200545</v>
      </c>
      <c r="O35" s="646">
        <v>7.74</v>
      </c>
      <c r="P35" s="646">
        <v>3.51</v>
      </c>
      <c r="Q35" s="1292">
        <f>(B35/M35)*100</f>
        <v>239.32720424743383</v>
      </c>
      <c r="R35" s="323">
        <v>16.742999999999999</v>
      </c>
      <c r="S35" s="324">
        <f>B35/R35</f>
        <v>163610.58352744431</v>
      </c>
      <c r="T35" s="646"/>
      <c r="U35" s="324">
        <f>M35/R35</f>
        <v>68362.718748133557</v>
      </c>
      <c r="V35" s="646">
        <f>ROUND((C35/R35),0)</f>
        <v>171608</v>
      </c>
      <c r="W35" s="324">
        <f>N35/R35</f>
        <v>71704.294331959638</v>
      </c>
      <c r="X35" s="959"/>
    </row>
    <row r="36" spans="1:24" s="278" customFormat="1" ht="10.7" customHeight="1">
      <c r="B36" s="1306">
        <f>(B35/84.78)*10</f>
        <v>323110.63930172211</v>
      </c>
      <c r="C36" s="1306">
        <f>(C35/84.78)*10</f>
        <v>338904.22269403166</v>
      </c>
      <c r="D36" s="1306">
        <f>(D35/84.78)*10</f>
        <v>24.180231186600611</v>
      </c>
      <c r="E36" s="1306">
        <f>(E35/84.78)*10</f>
        <v>338928.40292521816</v>
      </c>
      <c r="F36" s="1306">
        <f>(F35/84.78)*10</f>
        <v>246294.0552016985</v>
      </c>
      <c r="G36" s="1306"/>
      <c r="H36" s="1306">
        <f>(H35/84.78)*10</f>
        <v>76816.702052370834</v>
      </c>
      <c r="I36" s="1306">
        <f>(I35/84.78)*10</f>
        <v>92634.347723519691</v>
      </c>
      <c r="J36" s="1306"/>
      <c r="K36" s="1306">
        <f>(K35/84.78)*10</f>
        <v>98446.685539042228</v>
      </c>
      <c r="L36" s="1307"/>
      <c r="M36" s="1307"/>
      <c r="N36" s="1307"/>
      <c r="O36" s="1307"/>
      <c r="P36" s="1307"/>
      <c r="Q36" s="1307"/>
      <c r="R36" s="1307"/>
      <c r="S36" s="1306">
        <f>(S35/84.78)</f>
        <v>1929.8252362284065</v>
      </c>
      <c r="T36" s="1307"/>
      <c r="U36" s="1307"/>
      <c r="V36" s="1306">
        <f>(V35/84.78)</f>
        <v>2024.1566407171501</v>
      </c>
      <c r="W36" s="1307"/>
      <c r="X36" s="961"/>
    </row>
    <row r="37" spans="1:24" s="382" customFormat="1" ht="10.7" customHeight="1">
      <c r="A37" s="354" t="s">
        <v>2174</v>
      </c>
      <c r="B37" s="646">
        <v>3011065</v>
      </c>
      <c r="C37" s="646">
        <v>3197811</v>
      </c>
      <c r="D37" s="646">
        <v>411</v>
      </c>
      <c r="E37" s="646">
        <v>3198222</v>
      </c>
      <c r="F37" s="646">
        <v>2283288</v>
      </c>
      <c r="G37" s="323">
        <f>(F37/B37)*100</f>
        <v>75.829914000528049</v>
      </c>
      <c r="H37" s="646">
        <v>727777</v>
      </c>
      <c r="I37" s="646">
        <v>914934</v>
      </c>
      <c r="J37" s="323">
        <f>(I37/B37)*100</f>
        <v>30.38572730910824</v>
      </c>
      <c r="K37" s="646">
        <v>901003</v>
      </c>
      <c r="L37" s="323">
        <f>(K37/B37)*100</f>
        <v>29.923067087558721</v>
      </c>
      <c r="M37" s="646">
        <v>1207246</v>
      </c>
      <c r="N37" s="646">
        <v>1282119</v>
      </c>
      <c r="O37" s="646">
        <v>9.92</v>
      </c>
      <c r="P37" s="646">
        <v>5.47</v>
      </c>
      <c r="Q37" s="1292">
        <f>(B37/M37)*100</f>
        <v>249.41602622829149</v>
      </c>
      <c r="R37" s="323">
        <v>16.931000000000001</v>
      </c>
      <c r="S37" s="324">
        <f>B37/R37</f>
        <v>177843.30517984761</v>
      </c>
      <c r="T37" s="646"/>
      <c r="U37" s="324">
        <f>M37/R37</f>
        <v>71303.880455968334</v>
      </c>
      <c r="V37" s="646">
        <f>ROUND((C37/R37),0)</f>
        <v>188873</v>
      </c>
      <c r="W37" s="324">
        <f>N37/R37</f>
        <v>75726.123678459626</v>
      </c>
      <c r="X37" s="959"/>
    </row>
    <row r="38" spans="1:24" s="278" customFormat="1" ht="10.7" customHeight="1">
      <c r="B38" s="1306">
        <f>(B37/84.81)*10</f>
        <v>355036.55229336163</v>
      </c>
      <c r="C38" s="1306">
        <f>(C37/84.81)*10</f>
        <v>377055.88963565615</v>
      </c>
      <c r="D38" s="1306">
        <f>(D37/84.81)*10</f>
        <v>48.461266360099046</v>
      </c>
      <c r="E38" s="1306">
        <f>(E37/84.81)*10</f>
        <v>377104.35090201622</v>
      </c>
      <c r="F38" s="1306">
        <f>(F37/84.81)*10</f>
        <v>269223.91227449593</v>
      </c>
      <c r="G38" s="1306"/>
      <c r="H38" s="1306">
        <f>(H37/84.81)*10</f>
        <v>85812.640018865699</v>
      </c>
      <c r="I38" s="1306">
        <f>(I37/84.81)*10</f>
        <v>107880.43862752034</v>
      </c>
      <c r="J38" s="1306"/>
      <c r="K38" s="1306">
        <f>(K37/84.81)*10</f>
        <v>106237.82572809811</v>
      </c>
      <c r="L38" s="1307"/>
      <c r="M38" s="1307"/>
      <c r="N38" s="1307"/>
      <c r="O38" s="1307"/>
      <c r="P38" s="1307"/>
      <c r="Q38" s="1307"/>
      <c r="R38" s="1307"/>
      <c r="S38" s="1306">
        <f>(S37/84.81)</f>
        <v>2096.9615043019407</v>
      </c>
      <c r="T38" s="1307"/>
      <c r="U38" s="1307"/>
      <c r="V38" s="1306">
        <f>(V37/84.81)</f>
        <v>2227.0133239004836</v>
      </c>
      <c r="W38" s="1307"/>
      <c r="X38" s="961"/>
    </row>
    <row r="39" spans="1:24" s="382" customFormat="1" ht="10.7" customHeight="1">
      <c r="A39" s="1311" t="s">
        <v>2311</v>
      </c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5"/>
      <c r="M39" s="645"/>
      <c r="N39" s="645"/>
      <c r="O39" s="645"/>
      <c r="P39" s="645"/>
      <c r="Q39" s="645"/>
      <c r="R39" s="645"/>
      <c r="S39" s="647"/>
      <c r="T39" s="645"/>
      <c r="U39" s="645"/>
      <c r="V39" s="647"/>
      <c r="W39" s="645"/>
      <c r="X39" s="959"/>
    </row>
    <row r="40" spans="1:24" s="450" customFormat="1" ht="10.7" customHeight="1">
      <c r="A40" s="593" t="s">
        <v>1299</v>
      </c>
      <c r="B40" s="643">
        <v>2075821</v>
      </c>
      <c r="C40" s="643">
        <v>2173075</v>
      </c>
      <c r="D40" s="643">
        <v>3249</v>
      </c>
      <c r="E40" s="643">
        <v>2176324</v>
      </c>
      <c r="F40" s="643">
        <v>1509739</v>
      </c>
      <c r="G40" s="281">
        <f>(F40/B40)*100</f>
        <v>72.729729586510601</v>
      </c>
      <c r="H40" s="643">
        <v>566082</v>
      </c>
      <c r="I40" s="643">
        <v>666585</v>
      </c>
      <c r="J40" s="281">
        <f>(I40/B40)*100</f>
        <v>32.111872844527539</v>
      </c>
      <c r="K40" s="643">
        <v>627723</v>
      </c>
      <c r="L40" s="281">
        <f>(K40/B40)*100</f>
        <v>30.239746105275938</v>
      </c>
      <c r="M40" s="1307" t="s">
        <v>2312</v>
      </c>
      <c r="N40" s="1307" t="s">
        <v>2313</v>
      </c>
      <c r="O40" s="1307" t="s">
        <v>306</v>
      </c>
      <c r="P40" s="1307" t="s">
        <v>306</v>
      </c>
      <c r="Q40" s="422">
        <f>(B40/M40)*100</f>
        <v>100</v>
      </c>
      <c r="R40" s="1307" t="s">
        <v>2314</v>
      </c>
      <c r="S40" s="643">
        <v>129828</v>
      </c>
      <c r="T40" s="1307"/>
      <c r="U40" s="422">
        <f>M40/R40</f>
        <v>129819.94996873045</v>
      </c>
      <c r="V40" s="643">
        <v>135911</v>
      </c>
      <c r="W40" s="422">
        <f>N40/R40</f>
        <v>135902.12632895561</v>
      </c>
      <c r="X40" s="1312"/>
    </row>
    <row r="41" spans="1:24" s="1314" customFormat="1" ht="10.7" customHeight="1">
      <c r="A41" s="354"/>
      <c r="B41" s="647">
        <f>(B40/78.27)*10</f>
        <v>265212.85294493422</v>
      </c>
      <c r="C41" s="647">
        <f>(C40/78.27)*10</f>
        <v>277638.30330905842</v>
      </c>
      <c r="D41" s="647">
        <f>(D40/78.27)*10</f>
        <v>415.10157148332695</v>
      </c>
      <c r="E41" s="647">
        <f>(E40/78.27)*10</f>
        <v>278053.40488054173</v>
      </c>
      <c r="F41" s="647">
        <f>(F40/78.27)*10</f>
        <v>192888.59077552066</v>
      </c>
      <c r="G41" s="647"/>
      <c r="H41" s="647">
        <f>(H40/78.27)*10</f>
        <v>72324.262169413574</v>
      </c>
      <c r="I41" s="647">
        <f>(I40/78.27)*10</f>
        <v>85164.814105021083</v>
      </c>
      <c r="J41" s="647"/>
      <c r="K41" s="647">
        <f>(K40/79.1)*10</f>
        <v>79358.154235145397</v>
      </c>
      <c r="L41" s="645"/>
      <c r="M41" s="645"/>
      <c r="N41" s="645"/>
      <c r="O41" s="645"/>
      <c r="P41" s="645"/>
      <c r="Q41" s="645"/>
      <c r="R41" s="645"/>
      <c r="S41" s="647">
        <f>S40/78.27</f>
        <v>1658.7198160214643</v>
      </c>
      <c r="T41" s="645"/>
      <c r="U41" s="645"/>
      <c r="V41" s="647">
        <f>V40/78.27</f>
        <v>1736.437971125591</v>
      </c>
      <c r="W41" s="645"/>
      <c r="X41" s="1313"/>
    </row>
    <row r="42" spans="1:24" s="450" customFormat="1" ht="10.7" customHeight="1">
      <c r="A42" s="278" t="s">
        <v>1332</v>
      </c>
      <c r="B42" s="643">
        <v>2324307</v>
      </c>
      <c r="C42" s="643">
        <v>2404557</v>
      </c>
      <c r="D42" s="643">
        <v>4416</v>
      </c>
      <c r="E42" s="643">
        <v>2408974</v>
      </c>
      <c r="F42" s="643">
        <v>1695216</v>
      </c>
      <c r="G42" s="281">
        <f>(F42/B42)*100</f>
        <v>72.934255242530355</v>
      </c>
      <c r="H42" s="643">
        <v>629091</v>
      </c>
      <c r="I42" s="643">
        <v>713758</v>
      </c>
      <c r="J42" s="281">
        <f>(I42/B42)*100</f>
        <v>30.70842190812143</v>
      </c>
      <c r="K42" s="643">
        <v>719300</v>
      </c>
      <c r="L42" s="281">
        <f>(K42/B42)*100</f>
        <v>30.946858569027242</v>
      </c>
      <c r="M42" s="1307" t="s">
        <v>2315</v>
      </c>
      <c r="N42" s="1307" t="s">
        <v>2316</v>
      </c>
      <c r="O42" s="1307" t="s">
        <v>2317</v>
      </c>
      <c r="P42" s="1307" t="s">
        <v>2318</v>
      </c>
      <c r="Q42" s="422">
        <f>(B42/M42)*100</f>
        <v>105.04758379534154</v>
      </c>
      <c r="R42" s="1307" t="s">
        <v>2319</v>
      </c>
      <c r="S42" s="643">
        <v>143698</v>
      </c>
      <c r="T42" s="1307"/>
      <c r="U42" s="422">
        <f>M42/R42</f>
        <v>136750.49443757726</v>
      </c>
      <c r="V42" s="643">
        <v>148659</v>
      </c>
      <c r="W42" s="422">
        <f>N42/R42</f>
        <v>141472.00247218789</v>
      </c>
      <c r="X42" s="1312"/>
    </row>
    <row r="43" spans="1:24" s="1314" customFormat="1" ht="10.7" customHeight="1">
      <c r="A43" s="354"/>
      <c r="B43" s="647">
        <f>(B42/79.12)*10</f>
        <v>293769.84327603638</v>
      </c>
      <c r="C43" s="647">
        <f>(C42/79.12)*10</f>
        <v>303912.66430738114</v>
      </c>
      <c r="D43" s="647">
        <f>(D42/79.12)*10</f>
        <v>558.1395348837209</v>
      </c>
      <c r="E43" s="647">
        <f>(E42/79.12)*10</f>
        <v>304470.93023255811</v>
      </c>
      <c r="F43" s="647">
        <f>(F42/79.12)*10</f>
        <v>214258.84732052579</v>
      </c>
      <c r="G43" s="647"/>
      <c r="H43" s="647">
        <f>(H42/79.12)*10</f>
        <v>79510.995955510618</v>
      </c>
      <c r="I43" s="647">
        <f>(I42/79.12)*10</f>
        <v>90212.082912032347</v>
      </c>
      <c r="J43" s="647"/>
      <c r="K43" s="647">
        <f>(K42/79.12)*10</f>
        <v>90912.537917087961</v>
      </c>
      <c r="L43" s="645"/>
      <c r="M43" s="645"/>
      <c r="N43" s="645"/>
      <c r="O43" s="645"/>
      <c r="P43" s="645"/>
      <c r="Q43" s="645"/>
      <c r="R43" s="645"/>
      <c r="S43" s="647">
        <f>S42/79.12</f>
        <v>1816.2032355915064</v>
      </c>
      <c r="T43" s="645"/>
      <c r="U43" s="645"/>
      <c r="V43" s="647">
        <f>V42/79.12</f>
        <v>1878.9054600606673</v>
      </c>
      <c r="W43" s="645"/>
      <c r="X43" s="1313"/>
    </row>
    <row r="44" spans="1:24" s="450" customFormat="1" ht="10.7" customHeight="1">
      <c r="A44" s="278" t="s">
        <v>1471</v>
      </c>
      <c r="B44" s="643">
        <v>2639248</v>
      </c>
      <c r="C44" s="643">
        <v>2744791</v>
      </c>
      <c r="D44" s="643">
        <v>4213</v>
      </c>
      <c r="E44" s="643">
        <v>2749004</v>
      </c>
      <c r="F44" s="643">
        <v>1941136</v>
      </c>
      <c r="G44" s="281">
        <f>(F44/B44)*100</f>
        <v>73.548829060399029</v>
      </c>
      <c r="H44" s="643">
        <v>698112</v>
      </c>
      <c r="I44" s="643">
        <v>807868</v>
      </c>
      <c r="J44" s="281">
        <f>(I44/B44)*100</f>
        <v>30.609779755445494</v>
      </c>
      <c r="K44" s="643">
        <v>839877</v>
      </c>
      <c r="L44" s="281">
        <f>(K44/B44)*100</f>
        <v>31.822587343061358</v>
      </c>
      <c r="M44" s="1307" t="s">
        <v>2320</v>
      </c>
      <c r="N44" s="1307" t="s">
        <v>2321</v>
      </c>
      <c r="O44" s="1307" t="s">
        <v>2322</v>
      </c>
      <c r="P44" s="1307" t="s">
        <v>2323</v>
      </c>
      <c r="Q44" s="422">
        <f>(B44/M44)*100</f>
        <v>111.14616769155225</v>
      </c>
      <c r="R44" s="1307" t="s">
        <v>2324</v>
      </c>
      <c r="S44" s="643">
        <v>161274</v>
      </c>
      <c r="T44" s="1307"/>
      <c r="U44" s="422">
        <f>M44/R44</f>
        <v>145056.4447159438</v>
      </c>
      <c r="V44" s="643">
        <v>167723</v>
      </c>
      <c r="W44" s="422">
        <f>N44/R44</f>
        <v>150857.23885155772</v>
      </c>
      <c r="X44" s="1312"/>
    </row>
    <row r="45" spans="1:24" s="1314" customFormat="1" ht="10.7" customHeight="1">
      <c r="A45" s="354"/>
      <c r="B45" s="647">
        <f>(B44/82.1)*10</f>
        <v>321467.47868453106</v>
      </c>
      <c r="C45" s="647">
        <f>(C44/82.1)*10</f>
        <v>334322.89890377596</v>
      </c>
      <c r="D45" s="647">
        <f>(D44/82.1)*10</f>
        <v>513.15468940316691</v>
      </c>
      <c r="E45" s="647">
        <f>(E44/82.1)*10</f>
        <v>334836.05359317909</v>
      </c>
      <c r="F45" s="647">
        <f>(F44/82.1)*10</f>
        <v>236435.56638246041</v>
      </c>
      <c r="G45" s="647"/>
      <c r="H45" s="647">
        <f>(H44/82.1)*10</f>
        <v>85031.912302070647</v>
      </c>
      <c r="I45" s="647">
        <f>(I44/82.1)*10</f>
        <v>98400.487210718638</v>
      </c>
      <c r="J45" s="647"/>
      <c r="K45" s="647">
        <f>(K44/82.1)*10</f>
        <v>102299.26918392206</v>
      </c>
      <c r="L45" s="645"/>
      <c r="M45" s="645"/>
      <c r="N45" s="645"/>
      <c r="O45" s="645"/>
      <c r="P45" s="645"/>
      <c r="Q45" s="645"/>
      <c r="R45" s="645"/>
      <c r="S45" s="647">
        <f>S44/82.1</f>
        <v>1964.3605359317905</v>
      </c>
      <c r="T45" s="645"/>
      <c r="U45" s="645"/>
      <c r="V45" s="647">
        <f>V44/82.1</f>
        <v>2042.9110840438491</v>
      </c>
      <c r="W45" s="645"/>
      <c r="X45" s="1313"/>
    </row>
    <row r="46" spans="1:24" s="450" customFormat="1" ht="10.7" customHeight="1">
      <c r="A46" s="424" t="s">
        <v>1600</v>
      </c>
      <c r="B46" s="643">
        <v>2951429</v>
      </c>
      <c r="C46" s="643">
        <v>3072324</v>
      </c>
      <c r="D46" s="643">
        <v>4655</v>
      </c>
      <c r="E46" s="643">
        <v>3076979</v>
      </c>
      <c r="F46" s="643">
        <v>2157955</v>
      </c>
      <c r="G46" s="281">
        <f>(F46/B46)*100</f>
        <v>73.115599257173386</v>
      </c>
      <c r="H46" s="643">
        <v>793474</v>
      </c>
      <c r="I46" s="643">
        <v>919023</v>
      </c>
      <c r="J46" s="281">
        <f>(I46/B46)*100</f>
        <v>31.138238460081542</v>
      </c>
      <c r="K46" s="643">
        <v>950765</v>
      </c>
      <c r="L46" s="281">
        <f>(K46/B46)*100</f>
        <v>32.213717490747698</v>
      </c>
      <c r="M46" s="1307" t="s">
        <v>2325</v>
      </c>
      <c r="N46" s="1307" t="s">
        <v>2326</v>
      </c>
      <c r="O46" s="1307" t="s">
        <v>2327</v>
      </c>
      <c r="P46" s="1307" t="s">
        <v>2328</v>
      </c>
      <c r="Q46" s="422">
        <f>(B46/M46)*100</f>
        <v>115.21206712947783</v>
      </c>
      <c r="R46" s="1307" t="s">
        <v>2329</v>
      </c>
      <c r="S46" s="643">
        <v>178280</v>
      </c>
      <c r="T46" s="1307"/>
      <c r="U46" s="422">
        <f>M46/R46</f>
        <v>154694.20289855075</v>
      </c>
      <c r="V46" s="643">
        <v>185583</v>
      </c>
      <c r="W46" s="422">
        <f>N46/R46</f>
        <v>161030.67632850242</v>
      </c>
      <c r="X46" s="1312"/>
    </row>
    <row r="47" spans="1:24" s="1314" customFormat="1" ht="10.7" customHeight="1">
      <c r="A47" s="354"/>
      <c r="B47" s="647">
        <f>(B46/84.03)*10</f>
        <v>351235.15411162679</v>
      </c>
      <c r="C47" s="647">
        <f>(C46/84.03)*10</f>
        <v>365622.27775794361</v>
      </c>
      <c r="D47" s="647">
        <f>(D46/84.03)*10</f>
        <v>553.96882065928833</v>
      </c>
      <c r="E47" s="647">
        <f>(E46/84.03)*10</f>
        <v>366176.24657860288</v>
      </c>
      <c r="F47" s="647">
        <f>(F46/84.03)*10</f>
        <v>256807.68773057239</v>
      </c>
      <c r="G47" s="647"/>
      <c r="H47" s="647">
        <f>(H46/84.03)*10</f>
        <v>94427.466381054386</v>
      </c>
      <c r="I47" s="647">
        <f>(I46/84.03)*10</f>
        <v>109368.43984291324</v>
      </c>
      <c r="J47" s="647"/>
      <c r="K47" s="647">
        <f>(K46/84.03)*10</f>
        <v>113145.90027371177</v>
      </c>
      <c r="L47" s="645"/>
      <c r="M47" s="645"/>
      <c r="N47" s="645"/>
      <c r="O47" s="645"/>
      <c r="P47" s="645"/>
      <c r="Q47" s="645"/>
      <c r="R47" s="645"/>
      <c r="S47" s="647">
        <f>S46/84.03</f>
        <v>2121.6232297988813</v>
      </c>
      <c r="T47" s="645"/>
      <c r="U47" s="645"/>
      <c r="V47" s="647">
        <f>V46/84.03</f>
        <v>2208.5326669046767</v>
      </c>
      <c r="W47" s="645"/>
      <c r="X47" s="1313"/>
    </row>
    <row r="48" spans="1:24" s="450" customFormat="1" ht="10.7" customHeight="1">
      <c r="A48" s="278" t="s">
        <v>1695</v>
      </c>
      <c r="B48" s="643">
        <v>3170469</v>
      </c>
      <c r="C48" s="643">
        <v>3301701</v>
      </c>
      <c r="D48" s="643">
        <v>6369</v>
      </c>
      <c r="E48" s="643">
        <v>3308071</v>
      </c>
      <c r="F48" s="643">
        <v>2311982</v>
      </c>
      <c r="G48" s="281">
        <f>(F48/B48)*100</f>
        <v>72.922397285701265</v>
      </c>
      <c r="H48" s="643">
        <v>858487</v>
      </c>
      <c r="I48" s="643">
        <v>996088</v>
      </c>
      <c r="J48" s="281">
        <f>(I48/B48)*100</f>
        <v>31.41768615305811</v>
      </c>
      <c r="K48" s="643">
        <v>992609</v>
      </c>
      <c r="L48" s="281">
        <f>(K48/B48)*100</f>
        <v>31.307954753697327</v>
      </c>
      <c r="M48" s="643">
        <v>2650065</v>
      </c>
      <c r="N48" s="643">
        <v>2759756</v>
      </c>
      <c r="O48" s="281">
        <v>7.42</v>
      </c>
      <c r="P48" s="643">
        <v>3.45</v>
      </c>
      <c r="Q48" s="422">
        <f>(B48/M48)*100</f>
        <v>119.63740512025176</v>
      </c>
      <c r="R48" s="643">
        <v>16.739999999999998</v>
      </c>
      <c r="S48" s="643">
        <v>189361</v>
      </c>
      <c r="T48" s="643"/>
      <c r="U48" s="422">
        <f>M48/R48</f>
        <v>158307.34767025092</v>
      </c>
      <c r="V48" s="643">
        <v>197199</v>
      </c>
      <c r="W48" s="422">
        <f>N48/R48</f>
        <v>164859.97610513741</v>
      </c>
      <c r="X48" s="1312"/>
    </row>
    <row r="49" spans="1:24" s="1314" customFormat="1" ht="10.7" customHeight="1">
      <c r="A49" s="354"/>
      <c r="B49" s="647">
        <f>(B48/84.78)*10</f>
        <v>373964.26043878275</v>
      </c>
      <c r="C49" s="647">
        <f>(C48/84.78)*10</f>
        <v>389443.38287331921</v>
      </c>
      <c r="D49" s="647">
        <f>(D48/84.78)*10</f>
        <v>751.23849964614294</v>
      </c>
      <c r="E49" s="647">
        <f>(E48/84.78)*10</f>
        <v>390194.73932531255</v>
      </c>
      <c r="F49" s="647">
        <f>(F48/84.78)*10</f>
        <v>272703.70370370371</v>
      </c>
      <c r="G49" s="647"/>
      <c r="H49" s="647">
        <f>(H48/84.78)*10</f>
        <v>101260.55673507902</v>
      </c>
      <c r="I49" s="647">
        <f>(I48/84.78)*10</f>
        <v>117490.91766926162</v>
      </c>
      <c r="J49" s="647"/>
      <c r="K49" s="647">
        <f>(K48/84.78)*10</f>
        <v>117080.56145317292</v>
      </c>
      <c r="L49" s="645"/>
      <c r="M49" s="645"/>
      <c r="N49" s="645"/>
      <c r="O49" s="645"/>
      <c r="P49" s="645"/>
      <c r="Q49" s="645"/>
      <c r="R49" s="645"/>
      <c r="S49" s="647">
        <f>(S48/84.78)</f>
        <v>2233.5574427931115</v>
      </c>
      <c r="T49" s="645"/>
      <c r="U49" s="645"/>
      <c r="V49" s="647">
        <f>(V48/84.78)</f>
        <v>2326.0084925690021</v>
      </c>
      <c r="W49" s="645"/>
      <c r="X49" s="1313"/>
    </row>
    <row r="50" spans="1:24" s="450" customFormat="1" ht="10.7" customHeight="1">
      <c r="A50" s="278" t="s">
        <v>1764</v>
      </c>
      <c r="B50" s="643">
        <v>3530185</v>
      </c>
      <c r="C50" s="643">
        <v>3715997</v>
      </c>
      <c r="D50" s="643">
        <v>6654</v>
      </c>
      <c r="E50" s="643">
        <v>3722650</v>
      </c>
      <c r="F50" s="643">
        <v>2635572</v>
      </c>
      <c r="G50" s="281">
        <f>(F50/B50)*100</f>
        <v>74.658183636268348</v>
      </c>
      <c r="H50" s="643">
        <v>894613</v>
      </c>
      <c r="I50" s="643">
        <v>1087078</v>
      </c>
      <c r="J50" s="281">
        <f>(I50/B50)*100</f>
        <v>30.793796925656871</v>
      </c>
      <c r="K50" s="643">
        <v>1095019</v>
      </c>
      <c r="L50" s="281">
        <f>(K50/B50)*100</f>
        <v>31.018742643799118</v>
      </c>
      <c r="M50" s="643">
        <v>2833944</v>
      </c>
      <c r="N50" s="643">
        <v>2983109</v>
      </c>
      <c r="O50" s="643">
        <v>11.35</v>
      </c>
      <c r="P50" s="643">
        <v>6.94</v>
      </c>
      <c r="Q50" s="422">
        <f>(B50/M50)*100</f>
        <v>124.56791665608071</v>
      </c>
      <c r="R50" s="281">
        <v>16.911000000000001</v>
      </c>
      <c r="S50" s="643">
        <v>208751</v>
      </c>
      <c r="T50" s="643"/>
      <c r="U50" s="422">
        <f>M50/R50</f>
        <v>167579.91839631009</v>
      </c>
      <c r="V50" s="422">
        <v>219738</v>
      </c>
      <c r="W50" s="422">
        <f>N50/R50</f>
        <v>176400.50854473418</v>
      </c>
      <c r="X50" s="1312"/>
    </row>
    <row r="51" spans="1:24" s="1314" customFormat="1" ht="10.7" customHeight="1">
      <c r="A51" s="354"/>
      <c r="B51" s="647">
        <f>(B50/84.81)*10</f>
        <v>416246.31529300788</v>
      </c>
      <c r="C51" s="647">
        <f>(C50/84.81)*10</f>
        <v>438155.52411272255</v>
      </c>
      <c r="D51" s="647">
        <f>(D50/84.81)*10</f>
        <v>784.57729041386631</v>
      </c>
      <c r="E51" s="647">
        <f>(E50/84.81)*10</f>
        <v>438939.98349251272</v>
      </c>
      <c r="F51" s="647">
        <f>(F50/84.81)*10</f>
        <v>310761.93845065439</v>
      </c>
      <c r="G51" s="647"/>
      <c r="H51" s="647">
        <f>(H50/84.81)*10</f>
        <v>105484.37684235349</v>
      </c>
      <c r="I51" s="647">
        <f>(I50/84.81)*10</f>
        <v>128178.04504185828</v>
      </c>
      <c r="J51" s="647"/>
      <c r="K51" s="647">
        <f>(K50/84.81)*10</f>
        <v>129114.37330503479</v>
      </c>
      <c r="L51" s="645"/>
      <c r="M51" s="645"/>
      <c r="N51" s="645"/>
      <c r="O51" s="645"/>
      <c r="P51" s="645"/>
      <c r="Q51" s="645"/>
      <c r="R51" s="645"/>
      <c r="S51" s="647">
        <v>2462</v>
      </c>
      <c r="T51" s="645"/>
      <c r="U51" s="645"/>
      <c r="V51" s="647">
        <f>(V50/84.81)</f>
        <v>2590.9444640962151</v>
      </c>
      <c r="W51" s="645"/>
      <c r="X51" s="1313"/>
    </row>
    <row r="52" spans="1:24" s="1314" customFormat="1" ht="10.7" customHeight="1">
      <c r="A52" s="278" t="s">
        <v>2437</v>
      </c>
      <c r="B52" s="643">
        <v>3976462</v>
      </c>
      <c r="C52" s="643">
        <v>4124071</v>
      </c>
      <c r="D52" s="643">
        <v>7001</v>
      </c>
      <c r="E52" s="643">
        <v>4131072</v>
      </c>
      <c r="F52" s="643">
        <v>3118965</v>
      </c>
      <c r="G52" s="281">
        <f>(F52/B52)*100</f>
        <v>78.435679757533208</v>
      </c>
      <c r="H52" s="643">
        <v>4131072</v>
      </c>
      <c r="I52" s="643">
        <v>1012107</v>
      </c>
      <c r="J52" s="281">
        <f>(I52/B52)*100</f>
        <v>25.452449941681827</v>
      </c>
      <c r="K52" s="643">
        <v>1259882</v>
      </c>
      <c r="L52" s="281">
        <f>(K52/B52)*100</f>
        <v>31.683491505765677</v>
      </c>
      <c r="M52" s="643">
        <v>3039273</v>
      </c>
      <c r="N52" s="643">
        <v>3152093</v>
      </c>
      <c r="O52" s="643">
        <v>12.64</v>
      </c>
      <c r="P52" s="643">
        <v>7.25</v>
      </c>
      <c r="Q52" s="422">
        <f>(B52/M52)*100</f>
        <v>130.83595978380356</v>
      </c>
      <c r="R52" s="281">
        <v>17.079000000000001</v>
      </c>
      <c r="S52" s="643">
        <v>232828</v>
      </c>
      <c r="T52" s="643"/>
      <c r="U52" s="422">
        <f>M52/R52</f>
        <v>177953.80291586157</v>
      </c>
      <c r="V52" s="643">
        <v>241470</v>
      </c>
      <c r="W52" s="422">
        <f>N52/R52</f>
        <v>184559.57608759296</v>
      </c>
      <c r="X52" s="1313"/>
    </row>
    <row r="53" spans="1:24" s="1314" customFormat="1" ht="10.7" customHeight="1" thickBot="1">
      <c r="A53" s="962"/>
      <c r="B53" s="648">
        <f>(B52/85.52)*10</f>
        <v>464974.50888681016</v>
      </c>
      <c r="C53" s="648">
        <f t="shared" ref="C53:F53" si="0">(C52/85.52)*10</f>
        <v>482234.68194574374</v>
      </c>
      <c r="D53" s="648">
        <f t="shared" si="0"/>
        <v>818.6389148737137</v>
      </c>
      <c r="E53" s="648">
        <f t="shared" si="0"/>
        <v>483053.32086061739</v>
      </c>
      <c r="F53" s="648">
        <f t="shared" si="0"/>
        <v>364705.91674462112</v>
      </c>
      <c r="G53" s="648"/>
      <c r="H53" s="648">
        <f>(H52/85.52)*10</f>
        <v>483053.32086061739</v>
      </c>
      <c r="I53" s="648">
        <f>(I52/85.52)*10</f>
        <v>118347.40411599627</v>
      </c>
      <c r="J53" s="648"/>
      <c r="K53" s="648">
        <f>(K52/85.52)*10</f>
        <v>147320.15902712816</v>
      </c>
      <c r="L53" s="649"/>
      <c r="M53" s="649"/>
      <c r="N53" s="649"/>
      <c r="O53" s="649"/>
      <c r="P53" s="649"/>
      <c r="Q53" s="649"/>
      <c r="R53" s="649"/>
      <c r="S53" s="648">
        <v>2723</v>
      </c>
      <c r="T53" s="649"/>
      <c r="U53" s="649"/>
      <c r="V53" s="648">
        <f>(V52/85.52)</f>
        <v>2823.5500467726847</v>
      </c>
      <c r="W53" s="649"/>
      <c r="X53" s="1313"/>
    </row>
    <row r="54" spans="1:24" ht="12" customHeight="1">
      <c r="A54" s="2173" t="s">
        <v>1454</v>
      </c>
      <c r="B54" s="2173"/>
      <c r="C54" s="2173"/>
      <c r="D54" s="2173"/>
      <c r="E54" s="2173"/>
      <c r="F54" s="2173"/>
      <c r="G54" s="9"/>
      <c r="I54" s="52" t="s">
        <v>1771</v>
      </c>
      <c r="J54" s="52"/>
      <c r="K54" s="52"/>
      <c r="L54" s="2174" t="s">
        <v>1373</v>
      </c>
      <c r="M54" s="2174"/>
      <c r="N54" s="2174"/>
      <c r="O54" s="2174"/>
      <c r="P54" s="1297"/>
      <c r="Q54" s="2175" t="s">
        <v>2330</v>
      </c>
      <c r="R54" s="2175"/>
      <c r="S54" s="1297"/>
      <c r="T54" s="52"/>
      <c r="U54" s="33"/>
      <c r="V54" s="13"/>
      <c r="W54" s="52"/>
      <c r="X54" s="54"/>
    </row>
    <row r="55" spans="1:24" ht="9.75" customHeight="1">
      <c r="A55" s="2176"/>
      <c r="B55" s="2176"/>
      <c r="C55" s="2176"/>
      <c r="D55" s="2176"/>
      <c r="E55" s="2177"/>
      <c r="F55" s="2149"/>
      <c r="G55" s="2149"/>
      <c r="H55" s="861"/>
      <c r="I55" s="52"/>
      <c r="J55" s="52"/>
      <c r="K55" s="52"/>
      <c r="L55" s="2178"/>
      <c r="M55" s="2178"/>
      <c r="N55" s="2178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2"/>
      <c r="N56" s="54"/>
      <c r="S56" s="31"/>
    </row>
    <row r="57" spans="1:24">
      <c r="D57" s="812"/>
      <c r="G57" s="90"/>
      <c r="S57" s="31"/>
      <c r="W57" s="812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4:F54"/>
    <mergeCell ref="L54:O54"/>
    <mergeCell ref="Q54:R54"/>
    <mergeCell ref="A55:E55"/>
    <mergeCell ref="F55:G55"/>
    <mergeCell ref="L55:N55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45" firstPageNumber="50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32"/>
  <sheetViews>
    <sheetView zoomScale="202" zoomScaleNormal="202" workbookViewId="0">
      <pane xSplit="1" ySplit="3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C56" sqref="C56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79" t="s">
        <v>1418</v>
      </c>
      <c r="B1" s="2179"/>
      <c r="C1" s="2179"/>
      <c r="D1" s="2179"/>
      <c r="E1" s="2179"/>
      <c r="F1" s="2180" t="s">
        <v>1501</v>
      </c>
      <c r="G1" s="2180"/>
      <c r="H1" s="2180"/>
      <c r="I1" s="2180"/>
      <c r="J1" s="1049" t="s">
        <v>282</v>
      </c>
    </row>
    <row r="2" spans="1:10" s="5" customFormat="1" ht="11.1" customHeight="1">
      <c r="A2" s="1212"/>
      <c r="B2" s="1212"/>
      <c r="C2" s="1212"/>
      <c r="D2" s="1212"/>
      <c r="G2" s="72"/>
      <c r="H2" s="92"/>
      <c r="I2" s="92"/>
      <c r="J2" s="98"/>
    </row>
    <row r="3" spans="1:10" s="109" customFormat="1" ht="26.45" customHeight="1">
      <c r="A3" s="1716" t="s">
        <v>1020</v>
      </c>
      <c r="B3" s="762" t="s">
        <v>1485</v>
      </c>
      <c r="C3" s="1715" t="s">
        <v>1533</v>
      </c>
      <c r="D3" s="1715" t="s">
        <v>1486</v>
      </c>
      <c r="E3" s="1715" t="s">
        <v>1488</v>
      </c>
      <c r="F3" s="1716" t="s">
        <v>1021</v>
      </c>
      <c r="G3" s="1715" t="s">
        <v>1113</v>
      </c>
      <c r="H3" s="1715" t="s">
        <v>1487</v>
      </c>
      <c r="I3" s="1716" t="s">
        <v>1486</v>
      </c>
      <c r="J3" s="1716" t="s">
        <v>1489</v>
      </c>
    </row>
    <row r="4" spans="1:10" s="12" customFormat="1" ht="12.95" customHeight="1">
      <c r="A4" s="340" t="s">
        <v>81</v>
      </c>
      <c r="B4" s="326">
        <v>6153.68</v>
      </c>
      <c r="C4" s="328">
        <v>256353.55100000001</v>
      </c>
      <c r="D4" s="328">
        <v>21744.6</v>
      </c>
      <c r="E4" s="326">
        <v>273</v>
      </c>
      <c r="F4" s="911">
        <v>44866</v>
      </c>
      <c r="G4" s="323">
        <v>6376.35</v>
      </c>
      <c r="H4" s="1041">
        <v>902.83</v>
      </c>
      <c r="I4" s="1041">
        <f>D46</f>
        <v>94458.64</v>
      </c>
      <c r="J4" s="322">
        <v>399</v>
      </c>
    </row>
    <row r="5" spans="1:10" s="203" customFormat="1" ht="12.95" customHeight="1">
      <c r="A5" s="152" t="s">
        <v>199</v>
      </c>
      <c r="B5" s="29">
        <v>6117.23</v>
      </c>
      <c r="C5" s="30">
        <v>325879.77</v>
      </c>
      <c r="D5" s="30">
        <v>30104.5</v>
      </c>
      <c r="E5" s="29">
        <v>267</v>
      </c>
      <c r="F5" s="880">
        <v>44867</v>
      </c>
      <c r="G5" s="401">
        <v>6388.56</v>
      </c>
      <c r="H5" s="401">
        <v>1461.58</v>
      </c>
      <c r="I5" s="594">
        <f>I4</f>
        <v>94458.64</v>
      </c>
      <c r="J5" s="280">
        <f>J4</f>
        <v>399</v>
      </c>
    </row>
    <row r="6" spans="1:10" s="613" customFormat="1" ht="12.95" customHeight="1">
      <c r="A6" s="438" t="s">
        <v>792</v>
      </c>
      <c r="B6" s="323">
        <v>4572.88</v>
      </c>
      <c r="C6" s="323">
        <v>117145.07</v>
      </c>
      <c r="D6" s="323">
        <v>38410.899999999994</v>
      </c>
      <c r="E6" s="322">
        <v>279</v>
      </c>
      <c r="F6" s="911">
        <v>44868</v>
      </c>
      <c r="G6" s="417">
        <v>6410.67</v>
      </c>
      <c r="H6" s="417">
        <v>1512.44</v>
      </c>
      <c r="I6" s="1041">
        <f>I4</f>
        <v>94458.64</v>
      </c>
      <c r="J6" s="322">
        <f>J5</f>
        <v>399</v>
      </c>
    </row>
    <row r="7" spans="1:10" s="702" customFormat="1" ht="12.95" customHeight="1">
      <c r="A7" s="424" t="s">
        <v>908</v>
      </c>
      <c r="B7" s="281">
        <v>4385.7700000000004</v>
      </c>
      <c r="C7" s="281">
        <v>85716.56</v>
      </c>
      <c r="D7" s="281">
        <v>43407.3</v>
      </c>
      <c r="E7" s="280">
        <v>296</v>
      </c>
      <c r="F7" s="880">
        <v>44871</v>
      </c>
      <c r="G7" s="401">
        <v>6415.77</v>
      </c>
      <c r="H7" s="401">
        <v>1275.31</v>
      </c>
      <c r="I7" s="594">
        <f>I4</f>
        <v>94458.64</v>
      </c>
      <c r="J7" s="280">
        <v>399</v>
      </c>
    </row>
    <row r="8" spans="1:10" s="76" customFormat="1" ht="12.95" customHeight="1">
      <c r="A8" s="340" t="s">
        <v>1108</v>
      </c>
      <c r="B8" s="328">
        <v>4480.5200000000004</v>
      </c>
      <c r="C8" s="328">
        <v>112539.85800000001</v>
      </c>
      <c r="D8" s="328">
        <v>48255.5</v>
      </c>
      <c r="E8" s="326">
        <v>307</v>
      </c>
      <c r="F8" s="911">
        <v>44872</v>
      </c>
      <c r="G8" s="417">
        <v>6393.03</v>
      </c>
      <c r="H8" s="417">
        <v>1235.6600000000001</v>
      </c>
      <c r="I8" s="1041">
        <f>I4</f>
        <v>94458.64</v>
      </c>
      <c r="J8" s="322">
        <v>399</v>
      </c>
    </row>
    <row r="9" spans="1:10" s="526" customFormat="1" ht="12.95" customHeight="1">
      <c r="A9" s="424" t="s">
        <v>1167</v>
      </c>
      <c r="B9" s="281">
        <v>4583.1099999999997</v>
      </c>
      <c r="C9" s="281">
        <v>112351.91100000001</v>
      </c>
      <c r="D9" s="281">
        <v>54300.800000000003</v>
      </c>
      <c r="E9" s="280">
        <v>326</v>
      </c>
      <c r="F9" s="880">
        <v>44873</v>
      </c>
      <c r="G9" s="401">
        <v>6384.1</v>
      </c>
      <c r="H9" s="401">
        <v>1494.55</v>
      </c>
      <c r="I9" s="594">
        <f>I8</f>
        <v>94458.64</v>
      </c>
      <c r="J9" s="280">
        <v>399</v>
      </c>
    </row>
    <row r="10" spans="1:10" s="76" customFormat="1" ht="12.95" customHeight="1">
      <c r="A10" s="438" t="s">
        <v>1299</v>
      </c>
      <c r="B10" s="323">
        <v>4507.58</v>
      </c>
      <c r="C10" s="323">
        <v>107246.07099999998</v>
      </c>
      <c r="D10" s="323">
        <v>57846.400000000001</v>
      </c>
      <c r="E10" s="322">
        <v>330</v>
      </c>
      <c r="F10" s="911">
        <v>44874</v>
      </c>
      <c r="G10" s="417">
        <v>6350.14</v>
      </c>
      <c r="H10" s="417">
        <v>1018.85</v>
      </c>
      <c r="I10" s="1041">
        <f>I4</f>
        <v>94458.64</v>
      </c>
      <c r="J10" s="322">
        <v>399</v>
      </c>
    </row>
    <row r="11" spans="1:10" s="526" customFormat="1" ht="12.95" customHeight="1">
      <c r="A11" s="424" t="s">
        <v>1332</v>
      </c>
      <c r="B11" s="281">
        <v>5656.05</v>
      </c>
      <c r="C11" s="281">
        <v>180522.2</v>
      </c>
      <c r="D11" s="281">
        <v>61656.5</v>
      </c>
      <c r="E11" s="280">
        <v>334</v>
      </c>
      <c r="F11" s="880">
        <v>44875</v>
      </c>
      <c r="G11" s="401">
        <v>6353.77</v>
      </c>
      <c r="H11" s="401">
        <v>797.94</v>
      </c>
      <c r="I11" s="594">
        <f>I4</f>
        <v>94458.64</v>
      </c>
      <c r="J11" s="280">
        <v>398</v>
      </c>
    </row>
    <row r="12" spans="1:10" s="526" customFormat="1" ht="12.95" customHeight="1">
      <c r="A12" s="438" t="s">
        <v>1471</v>
      </c>
      <c r="B12" s="323">
        <v>5405.46</v>
      </c>
      <c r="C12" s="323">
        <v>159085.19200000001</v>
      </c>
      <c r="D12" s="323">
        <v>67071.899999999994</v>
      </c>
      <c r="E12" s="322">
        <v>343</v>
      </c>
      <c r="F12" s="911">
        <v>44878</v>
      </c>
      <c r="G12" s="417">
        <v>6304.83</v>
      </c>
      <c r="H12" s="417">
        <v>724.16</v>
      </c>
      <c r="I12" s="1041">
        <f>I4</f>
        <v>94458.64</v>
      </c>
      <c r="J12" s="322">
        <v>399</v>
      </c>
    </row>
    <row r="13" spans="1:10" s="526" customFormat="1" ht="12.95" customHeight="1">
      <c r="A13" s="424" t="s">
        <v>1600</v>
      </c>
      <c r="B13" s="281">
        <v>5421.62</v>
      </c>
      <c r="C13" s="281">
        <v>145965.53900000002</v>
      </c>
      <c r="D13" s="281">
        <v>71962.899999999994</v>
      </c>
      <c r="E13" s="280">
        <v>355</v>
      </c>
      <c r="F13" s="880">
        <v>44879</v>
      </c>
      <c r="G13" s="401">
        <v>6253.49</v>
      </c>
      <c r="H13" s="401">
        <v>714.29</v>
      </c>
      <c r="I13" s="594">
        <f>I12</f>
        <v>94458.64</v>
      </c>
      <c r="J13" s="280">
        <v>399</v>
      </c>
    </row>
    <row r="14" spans="1:10" s="526" customFormat="1" ht="12.95" customHeight="1">
      <c r="A14" s="670" t="s">
        <v>1695</v>
      </c>
      <c r="B14" s="366">
        <v>3989.09</v>
      </c>
      <c r="C14" s="366">
        <v>78042.763000000006</v>
      </c>
      <c r="D14" s="366">
        <v>75486.8</v>
      </c>
      <c r="E14" s="590">
        <v>362</v>
      </c>
      <c r="F14" s="911">
        <v>44880</v>
      </c>
      <c r="G14" s="417">
        <v>6218.32</v>
      </c>
      <c r="H14" s="1041">
        <v>560.91999999999996</v>
      </c>
      <c r="I14" s="1041">
        <f>I4</f>
        <v>94458.64</v>
      </c>
      <c r="J14" s="322">
        <v>399</v>
      </c>
    </row>
    <row r="15" spans="1:10" s="526" customFormat="1" ht="12.95" customHeight="1">
      <c r="A15" s="618" t="s">
        <v>1764</v>
      </c>
      <c r="B15" s="374">
        <f>B27</f>
        <v>6150.48</v>
      </c>
      <c r="C15" s="374">
        <f>SUM(C16:C27)</f>
        <v>254697.05800000005</v>
      </c>
      <c r="D15" s="374">
        <f>D27</f>
        <v>85204.7</v>
      </c>
      <c r="E15" s="538">
        <f>E27</f>
        <v>382</v>
      </c>
      <c r="F15" s="880">
        <v>44881</v>
      </c>
      <c r="G15" s="401">
        <v>6253.35</v>
      </c>
      <c r="H15" s="594">
        <v>468.52</v>
      </c>
      <c r="I15" s="594">
        <f t="shared" ref="I15:I23" si="0">I14</f>
        <v>94458.64</v>
      </c>
      <c r="J15" s="280">
        <v>399</v>
      </c>
    </row>
    <row r="16" spans="1:10" s="526" customFormat="1" ht="12.95" customHeight="1">
      <c r="A16" s="633" t="s">
        <v>606</v>
      </c>
      <c r="B16" s="323">
        <v>4214.43</v>
      </c>
      <c r="C16" s="323">
        <v>6001.37</v>
      </c>
      <c r="D16" s="323">
        <v>75201.399999999994</v>
      </c>
      <c r="E16" s="322">
        <v>361</v>
      </c>
      <c r="F16" s="911">
        <v>44882</v>
      </c>
      <c r="G16" s="417">
        <v>6265.99</v>
      </c>
      <c r="H16" s="1041">
        <v>552.14</v>
      </c>
      <c r="I16" s="1041">
        <f t="shared" si="0"/>
        <v>94458.64</v>
      </c>
      <c r="J16" s="322">
        <v>399</v>
      </c>
    </row>
    <row r="17" spans="1:10" s="526" customFormat="1" ht="12.95" customHeight="1">
      <c r="A17" s="591" t="s">
        <v>607</v>
      </c>
      <c r="B17" s="281">
        <v>4879.1499999999996</v>
      </c>
      <c r="C17" s="281">
        <v>18617.810000000001</v>
      </c>
      <c r="D17" s="281">
        <v>75706.7</v>
      </c>
      <c r="E17" s="280">
        <v>362</v>
      </c>
      <c r="F17" s="880">
        <v>44885</v>
      </c>
      <c r="G17" s="401">
        <v>6215.24</v>
      </c>
      <c r="H17" s="594">
        <v>422.89</v>
      </c>
      <c r="I17" s="594">
        <f t="shared" si="0"/>
        <v>94458.64</v>
      </c>
      <c r="J17" s="280">
        <v>399</v>
      </c>
    </row>
    <row r="18" spans="1:10" s="526" customFormat="1" ht="12.95" customHeight="1">
      <c r="A18" s="633" t="s">
        <v>601</v>
      </c>
      <c r="B18" s="323">
        <v>4963.29</v>
      </c>
      <c r="C18" s="323">
        <v>22257.81</v>
      </c>
      <c r="D18" s="323">
        <v>76303.399999999994</v>
      </c>
      <c r="E18" s="322">
        <v>363</v>
      </c>
      <c r="F18" s="911">
        <v>44886</v>
      </c>
      <c r="G18" s="417">
        <v>6190.99</v>
      </c>
      <c r="H18" s="1041">
        <v>351.9</v>
      </c>
      <c r="I18" s="1041">
        <f t="shared" si="0"/>
        <v>94458.64</v>
      </c>
      <c r="J18" s="322">
        <v>399</v>
      </c>
    </row>
    <row r="19" spans="1:10" s="526" customFormat="1" ht="12.95" customHeight="1">
      <c r="A19" s="591" t="s">
        <v>608</v>
      </c>
      <c r="B19" s="281">
        <v>4846.1000000000004</v>
      </c>
      <c r="C19" s="281">
        <v>17039.789000000001</v>
      </c>
      <c r="D19" s="281">
        <v>76688.3</v>
      </c>
      <c r="E19" s="280">
        <v>364</v>
      </c>
      <c r="F19" s="880">
        <v>44887</v>
      </c>
      <c r="G19" s="281">
        <v>6230.51</v>
      </c>
      <c r="H19" s="281">
        <v>428.68</v>
      </c>
      <c r="I19" s="594">
        <f t="shared" si="0"/>
        <v>94458.64</v>
      </c>
      <c r="J19" s="280">
        <v>399</v>
      </c>
    </row>
    <row r="20" spans="1:10" s="526" customFormat="1" ht="12.95" customHeight="1">
      <c r="A20" s="633" t="s">
        <v>609</v>
      </c>
      <c r="B20" s="323">
        <v>4866.84</v>
      </c>
      <c r="C20" s="323">
        <v>17407.37</v>
      </c>
      <c r="D20" s="323">
        <v>76715.399999999994</v>
      </c>
      <c r="E20" s="322">
        <v>364</v>
      </c>
      <c r="F20" s="911">
        <v>44888</v>
      </c>
      <c r="G20" s="323">
        <v>6207.73</v>
      </c>
      <c r="H20" s="323">
        <v>540.67999999999995</v>
      </c>
      <c r="I20" s="1041">
        <f t="shared" si="0"/>
        <v>94458.64</v>
      </c>
      <c r="J20" s="322">
        <v>399</v>
      </c>
    </row>
    <row r="21" spans="1:10" s="526" customFormat="1" ht="12.95" customHeight="1">
      <c r="A21" s="591" t="s">
        <v>602</v>
      </c>
      <c r="B21" s="281">
        <v>5402.07</v>
      </c>
      <c r="C21" s="281">
        <v>21588.019</v>
      </c>
      <c r="D21" s="281">
        <f>82233.3+400</f>
        <v>82633.3</v>
      </c>
      <c r="E21" s="280">
        <f>366+2</f>
        <v>368</v>
      </c>
      <c r="F21" s="880">
        <v>44889</v>
      </c>
      <c r="G21" s="401">
        <v>6215.12</v>
      </c>
      <c r="H21" s="594">
        <v>323.8</v>
      </c>
      <c r="I21" s="594">
        <f t="shared" si="0"/>
        <v>94458.64</v>
      </c>
      <c r="J21" s="280">
        <v>399</v>
      </c>
    </row>
    <row r="22" spans="1:10" s="526" customFormat="1" ht="12.95" customHeight="1">
      <c r="A22" s="633" t="s">
        <v>610</v>
      </c>
      <c r="B22" s="323">
        <v>5649.86</v>
      </c>
      <c r="C22" s="323">
        <v>33958.758000000002</v>
      </c>
      <c r="D22" s="323">
        <f>81599.5+400</f>
        <v>81999.5</v>
      </c>
      <c r="E22" s="322">
        <f>366+2</f>
        <v>368</v>
      </c>
      <c r="F22" s="911">
        <v>44892</v>
      </c>
      <c r="G22" s="1601">
        <v>6232.29</v>
      </c>
      <c r="H22" s="1041">
        <v>339.74</v>
      </c>
      <c r="I22" s="1041">
        <f t="shared" si="0"/>
        <v>94458.64</v>
      </c>
      <c r="J22" s="322">
        <v>399</v>
      </c>
    </row>
    <row r="23" spans="1:10" s="526" customFormat="1" ht="12.95" customHeight="1">
      <c r="A23" s="591" t="s">
        <v>611</v>
      </c>
      <c r="B23" s="281">
        <v>5404.8</v>
      </c>
      <c r="C23" s="281">
        <v>14449.043</v>
      </c>
      <c r="D23" s="281">
        <f>81884+400</f>
        <v>82284</v>
      </c>
      <c r="E23" s="280">
        <f>369+2</f>
        <v>371</v>
      </c>
      <c r="F23" s="880">
        <v>44893</v>
      </c>
      <c r="G23" s="401">
        <v>6197.94</v>
      </c>
      <c r="H23" s="594">
        <v>416.75</v>
      </c>
      <c r="I23" s="594">
        <f t="shared" si="0"/>
        <v>94458.64</v>
      </c>
      <c r="J23" s="280">
        <v>399</v>
      </c>
    </row>
    <row r="24" spans="1:10" s="526" customFormat="1" ht="12.95" customHeight="1">
      <c r="A24" s="633" t="s">
        <v>603</v>
      </c>
      <c r="B24" s="323">
        <v>5278.16</v>
      </c>
      <c r="C24" s="323">
        <v>14480.409</v>
      </c>
      <c r="D24" s="323">
        <f>83167.6+400</f>
        <v>83567.600000000006</v>
      </c>
      <c r="E24" s="322">
        <f>372+2</f>
        <v>374</v>
      </c>
      <c r="F24" s="911">
        <v>44894</v>
      </c>
      <c r="G24" s="417">
        <v>6212.46</v>
      </c>
      <c r="H24" s="1041">
        <v>334.04</v>
      </c>
      <c r="I24" s="1041">
        <f>I23</f>
        <v>94458.64</v>
      </c>
      <c r="J24" s="322">
        <v>399</v>
      </c>
    </row>
    <row r="25" spans="1:10" s="526" customFormat="1" ht="12.95" customHeight="1" thickBot="1">
      <c r="A25" s="591" t="s">
        <v>612</v>
      </c>
      <c r="B25" s="281">
        <v>5479.62</v>
      </c>
      <c r="C25" s="281">
        <v>14377.264999999999</v>
      </c>
      <c r="D25" s="281">
        <f>83433.6+400</f>
        <v>83833.600000000006</v>
      </c>
      <c r="E25" s="280">
        <f>373+2</f>
        <v>375</v>
      </c>
      <c r="F25" s="1651" t="s">
        <v>2701</v>
      </c>
      <c r="G25" s="1652">
        <v>6235.95</v>
      </c>
      <c r="H25" s="1653">
        <v>449.36</v>
      </c>
      <c r="I25" s="1653">
        <f>I24</f>
        <v>94458.64</v>
      </c>
      <c r="J25" s="1398">
        <v>399</v>
      </c>
    </row>
    <row r="26" spans="1:10" s="526" customFormat="1" ht="12.95" customHeight="1">
      <c r="A26" s="633" t="s">
        <v>613</v>
      </c>
      <c r="B26" s="323">
        <v>5990.99</v>
      </c>
      <c r="C26" s="323">
        <v>31010.437000000002</v>
      </c>
      <c r="D26" s="323">
        <f>83949.7+400</f>
        <v>84349.7</v>
      </c>
      <c r="E26" s="322">
        <f>373+2</f>
        <v>375</v>
      </c>
      <c r="F26" s="880"/>
      <c r="G26" s="364"/>
      <c r="H26" s="229"/>
      <c r="I26" s="30"/>
      <c r="J26" s="29"/>
    </row>
    <row r="27" spans="1:10" s="526" customFormat="1" ht="12.95" customHeight="1">
      <c r="A27" s="591" t="s">
        <v>604</v>
      </c>
      <c r="B27" s="281">
        <v>6150.48</v>
      </c>
      <c r="C27" s="281">
        <v>43508.978000000003</v>
      </c>
      <c r="D27" s="281">
        <f>84804.7+400</f>
        <v>85204.7</v>
      </c>
      <c r="E27" s="280">
        <f>380+2</f>
        <v>382</v>
      </c>
      <c r="F27" s="880"/>
      <c r="G27" s="29"/>
      <c r="H27" s="229"/>
      <c r="I27" s="30"/>
      <c r="J27" s="29"/>
    </row>
    <row r="28" spans="1:10" s="526" customFormat="1" ht="12.95" customHeight="1">
      <c r="A28" s="670" t="s">
        <v>2166</v>
      </c>
      <c r="B28" s="366">
        <f>B40</f>
        <v>6376.94</v>
      </c>
      <c r="C28" s="366">
        <f>SUM(C29:C40)</f>
        <v>318607.01500000001</v>
      </c>
      <c r="D28" s="366">
        <f>D40</f>
        <v>92764.687000000005</v>
      </c>
      <c r="E28" s="590">
        <f>E40</f>
        <v>395</v>
      </c>
      <c r="F28" s="557"/>
      <c r="G28" s="29"/>
      <c r="H28" s="229"/>
      <c r="I28" s="30"/>
      <c r="J28" s="29"/>
    </row>
    <row r="29" spans="1:10" s="526" customFormat="1" ht="12.95" customHeight="1">
      <c r="A29" s="591" t="s">
        <v>606</v>
      </c>
      <c r="B29" s="281">
        <v>6425.26</v>
      </c>
      <c r="C29" s="281">
        <v>23303.386999999999</v>
      </c>
      <c r="D29" s="281">
        <f>84741.4+400</f>
        <v>85141.4</v>
      </c>
      <c r="E29" s="280">
        <f>379+2</f>
        <v>381</v>
      </c>
      <c r="F29" s="557"/>
      <c r="G29" s="29"/>
      <c r="H29" s="229"/>
      <c r="I29" s="30"/>
      <c r="J29" s="29"/>
    </row>
    <row r="30" spans="1:10" s="526" customFormat="1" ht="12.95" customHeight="1">
      <c r="A30" s="633" t="s">
        <v>607</v>
      </c>
      <c r="B30" s="323">
        <v>6869.25</v>
      </c>
      <c r="C30" s="323">
        <v>45118.692999999999</v>
      </c>
      <c r="D30" s="323">
        <f>85777.7+400</f>
        <v>86177.7</v>
      </c>
      <c r="E30" s="322">
        <f>380+2</f>
        <v>382</v>
      </c>
      <c r="F30" s="557"/>
      <c r="G30" s="29"/>
      <c r="H30" s="229"/>
      <c r="I30" s="30"/>
      <c r="J30" s="29"/>
    </row>
    <row r="31" spans="1:10" s="526" customFormat="1" ht="12.95" customHeight="1">
      <c r="A31" s="591" t="s">
        <v>601</v>
      </c>
      <c r="B31" s="281">
        <v>7329.04</v>
      </c>
      <c r="C31" s="281">
        <v>50706.398000000001</v>
      </c>
      <c r="D31" s="281">
        <f>85873.6+400</f>
        <v>86273.600000000006</v>
      </c>
      <c r="E31" s="280">
        <f>380+2</f>
        <v>382</v>
      </c>
      <c r="F31" s="557"/>
      <c r="G31" s="29"/>
      <c r="H31" s="229"/>
      <c r="I31" s="30"/>
      <c r="J31" s="29"/>
    </row>
    <row r="32" spans="1:10" s="526" customFormat="1" ht="12.95" customHeight="1">
      <c r="A32" s="633" t="s">
        <v>608</v>
      </c>
      <c r="B32" s="323">
        <v>7000.95</v>
      </c>
      <c r="C32" s="323">
        <v>37017.273999999998</v>
      </c>
      <c r="D32" s="323">
        <f>85879.2+400</f>
        <v>86279.2</v>
      </c>
      <c r="E32" s="322">
        <f>380+2</f>
        <v>382</v>
      </c>
      <c r="F32" s="557"/>
      <c r="G32" s="29"/>
      <c r="H32" s="229"/>
      <c r="I32" s="30"/>
      <c r="J32" s="29"/>
    </row>
    <row r="33" spans="1:10" s="526" customFormat="1" ht="12.95" customHeight="1">
      <c r="A33" s="591" t="s">
        <v>609</v>
      </c>
      <c r="B33" s="281">
        <v>6703.26</v>
      </c>
      <c r="C33" s="281">
        <v>26682.893</v>
      </c>
      <c r="D33" s="281">
        <f>86058.4+400</f>
        <v>86458.4</v>
      </c>
      <c r="E33" s="280">
        <f>382+2</f>
        <v>384</v>
      </c>
      <c r="F33" s="557"/>
      <c r="G33" s="29"/>
      <c r="H33" s="229"/>
      <c r="I33" s="30"/>
      <c r="J33" s="29"/>
    </row>
    <row r="34" spans="1:10" s="526" customFormat="1" ht="12.95" customHeight="1">
      <c r="A34" s="633" t="s">
        <v>602</v>
      </c>
      <c r="B34" s="323">
        <v>6756.66</v>
      </c>
      <c r="C34" s="323">
        <v>19365.083999999999</v>
      </c>
      <c r="D34" s="323">
        <f>86622.1+580</f>
        <v>87202.1</v>
      </c>
      <c r="E34" s="322">
        <f>382+5</f>
        <v>387</v>
      </c>
      <c r="F34" s="557"/>
      <c r="G34" s="29"/>
      <c r="H34" s="229"/>
      <c r="I34" s="30"/>
      <c r="J34" s="29"/>
    </row>
    <row r="35" spans="1:10" s="526" customFormat="1" ht="12.95" customHeight="1">
      <c r="A35" s="591" t="s">
        <v>610</v>
      </c>
      <c r="B35" s="281">
        <v>6926.29</v>
      </c>
      <c r="C35" s="281">
        <v>31261.218000000001</v>
      </c>
      <c r="D35" s="281">
        <f>87515.7+3600</f>
        <v>91115.7</v>
      </c>
      <c r="E35" s="280">
        <f>385+7</f>
        <v>392</v>
      </c>
      <c r="F35" s="557"/>
      <c r="G35" s="29"/>
      <c r="H35" s="229"/>
      <c r="I35" s="30"/>
      <c r="J35" s="29"/>
    </row>
    <row r="36" spans="1:10" s="526" customFormat="1" ht="12.95" customHeight="1">
      <c r="A36" s="633" t="s">
        <v>611</v>
      </c>
      <c r="B36" s="323">
        <v>6739.45</v>
      </c>
      <c r="C36" s="323">
        <v>22099.846000000001</v>
      </c>
      <c r="D36" s="323">
        <f>87540.9+3600</f>
        <v>91140.9</v>
      </c>
      <c r="E36" s="322">
        <f>385+7</f>
        <v>392</v>
      </c>
      <c r="F36" s="557"/>
      <c r="G36" s="29"/>
      <c r="H36" s="229"/>
      <c r="I36" s="30"/>
      <c r="J36" s="29"/>
    </row>
    <row r="37" spans="1:10" s="526" customFormat="1" ht="12.95" customHeight="1">
      <c r="A37" s="591" t="s">
        <v>603</v>
      </c>
      <c r="B37" s="281">
        <v>6757.84</v>
      </c>
      <c r="C37" s="281">
        <v>18542.807000000001</v>
      </c>
      <c r="D37" s="281">
        <f>87634.8+3650</f>
        <v>91284.800000000003</v>
      </c>
      <c r="E37" s="280">
        <f>385+8</f>
        <v>393</v>
      </c>
      <c r="F37" s="557"/>
      <c r="G37" s="29"/>
      <c r="H37" s="229"/>
      <c r="I37" s="30"/>
      <c r="J37" s="29"/>
    </row>
    <row r="38" spans="1:10" s="526" customFormat="1" ht="12.95" customHeight="1">
      <c r="A38" s="633" t="s">
        <v>612</v>
      </c>
      <c r="B38" s="323">
        <v>6655.67</v>
      </c>
      <c r="C38" s="323">
        <v>12105.129000000001</v>
      </c>
      <c r="D38" s="323">
        <f>88023+3650</f>
        <v>91673</v>
      </c>
      <c r="E38" s="322">
        <f>385+8</f>
        <v>393</v>
      </c>
      <c r="F38" s="557"/>
      <c r="G38" s="29"/>
      <c r="H38" s="229"/>
      <c r="I38" s="30"/>
      <c r="J38" s="29"/>
    </row>
    <row r="39" spans="1:10" s="526" customFormat="1" ht="12.95" customHeight="1">
      <c r="A39" s="591" t="s">
        <v>613</v>
      </c>
      <c r="B39" s="281">
        <v>6392.86</v>
      </c>
      <c r="C39" s="281">
        <v>14464.505999999999</v>
      </c>
      <c r="D39" s="281">
        <f>88355.9+3650</f>
        <v>92005.9</v>
      </c>
      <c r="E39" s="280">
        <f>385+8</f>
        <v>393</v>
      </c>
      <c r="F39" s="557"/>
      <c r="G39" s="29"/>
      <c r="H39" s="229"/>
      <c r="I39" s="30"/>
      <c r="J39" s="29"/>
    </row>
    <row r="40" spans="1:10" s="526" customFormat="1" ht="12.95" customHeight="1">
      <c r="A40" s="633" t="s">
        <v>604</v>
      </c>
      <c r="B40" s="323">
        <v>6376.94</v>
      </c>
      <c r="C40" s="323">
        <v>17939.78</v>
      </c>
      <c r="D40" s="323">
        <f>88714.687+4050</f>
        <v>92764.687000000005</v>
      </c>
      <c r="E40" s="322">
        <f>386+9</f>
        <v>395</v>
      </c>
      <c r="F40" s="557"/>
      <c r="G40" s="29"/>
      <c r="H40" s="229"/>
      <c r="I40" s="30"/>
      <c r="J40" s="29"/>
    </row>
    <row r="41" spans="1:10" s="526" customFormat="1" ht="12.95" customHeight="1">
      <c r="A41" s="618" t="s">
        <v>2481</v>
      </c>
      <c r="B41" s="281"/>
      <c r="C41" s="281"/>
      <c r="D41" s="281"/>
      <c r="E41" s="280"/>
      <c r="F41" s="557"/>
      <c r="G41" s="29"/>
      <c r="H41" s="229"/>
      <c r="I41" s="30"/>
      <c r="J41" s="29"/>
    </row>
    <row r="42" spans="1:10" s="526" customFormat="1" ht="12.95" customHeight="1">
      <c r="A42" s="633" t="s">
        <v>606</v>
      </c>
      <c r="B42" s="323">
        <v>6133.96</v>
      </c>
      <c r="C42" s="323">
        <v>12284.123</v>
      </c>
      <c r="D42" s="323">
        <f>88899.3+4050</f>
        <v>92949.3</v>
      </c>
      <c r="E42" s="322">
        <f>386+9</f>
        <v>395</v>
      </c>
      <c r="F42" s="557"/>
      <c r="G42" s="29"/>
      <c r="H42" s="229"/>
      <c r="I42" s="30"/>
      <c r="J42" s="29"/>
    </row>
    <row r="43" spans="1:10" s="526" customFormat="1" ht="12.95" customHeight="1">
      <c r="A43" s="591" t="s">
        <v>607</v>
      </c>
      <c r="B43" s="281">
        <v>6457.22</v>
      </c>
      <c r="C43" s="281">
        <v>25472.400000000001</v>
      </c>
      <c r="D43" s="281">
        <f>89195.9+4050</f>
        <v>93245.9</v>
      </c>
      <c r="E43" s="280">
        <f>386+9</f>
        <v>395</v>
      </c>
      <c r="F43" s="557"/>
      <c r="G43" s="29"/>
      <c r="H43" s="229"/>
      <c r="I43" s="30"/>
      <c r="J43" s="29"/>
    </row>
    <row r="44" spans="1:10" s="526" customFormat="1" ht="12.95" customHeight="1">
      <c r="A44" s="633" t="s">
        <v>601</v>
      </c>
      <c r="B44" s="323">
        <v>6512.89</v>
      </c>
      <c r="C44" s="323">
        <v>35480.243999999999</v>
      </c>
      <c r="D44" s="323">
        <f>89309.1+4050</f>
        <v>93359.1</v>
      </c>
      <c r="E44" s="322">
        <f>387+9</f>
        <v>396</v>
      </c>
      <c r="F44" s="557"/>
      <c r="G44" s="29"/>
      <c r="H44" s="229"/>
      <c r="I44" s="30"/>
      <c r="J44" s="29"/>
    </row>
    <row r="45" spans="1:10" s="526" customFormat="1" ht="12.95" customHeight="1">
      <c r="A45" s="591" t="s">
        <v>608</v>
      </c>
      <c r="B45" s="281">
        <v>6307.34</v>
      </c>
      <c r="C45" s="281">
        <v>21091.73</v>
      </c>
      <c r="D45" s="281">
        <f>89467+4050</f>
        <v>93517</v>
      </c>
      <c r="E45" s="280">
        <v>398</v>
      </c>
      <c r="F45" s="557"/>
      <c r="G45" s="29"/>
      <c r="H45" s="229"/>
      <c r="I45" s="30"/>
      <c r="J45" s="29"/>
    </row>
    <row r="46" spans="1:10" s="526" customFormat="1" ht="12.95" customHeight="1" thickBot="1">
      <c r="A46" s="1616" t="s">
        <v>609</v>
      </c>
      <c r="B46" s="524">
        <v>6235.95</v>
      </c>
      <c r="C46" s="524">
        <v>16327.03</v>
      </c>
      <c r="D46" s="524">
        <v>94458.64</v>
      </c>
      <c r="E46" s="873">
        <v>399</v>
      </c>
      <c r="F46" s="557"/>
      <c r="G46" s="29"/>
      <c r="H46" s="229"/>
      <c r="I46" s="30"/>
      <c r="J46" s="29"/>
    </row>
    <row r="47" spans="1:10" s="526" customFormat="1" ht="11.1" customHeight="1">
      <c r="A47" s="263" t="s">
        <v>2179</v>
      </c>
      <c r="B47" s="1012"/>
      <c r="C47" s="1012"/>
      <c r="D47" s="1012"/>
      <c r="E47" s="1012"/>
      <c r="F47" s="557"/>
      <c r="G47" s="29"/>
      <c r="H47" s="229"/>
      <c r="I47" s="30"/>
      <c r="J47" s="29"/>
    </row>
    <row r="48" spans="1:10" s="526" customFormat="1" ht="11.1" customHeight="1">
      <c r="A48" s="107" t="s">
        <v>2178</v>
      </c>
      <c r="B48" s="28"/>
      <c r="C48" s="30"/>
      <c r="D48" s="239" t="s">
        <v>1762</v>
      </c>
      <c r="E48" s="188"/>
      <c r="F48" s="557"/>
      <c r="G48" s="29"/>
      <c r="H48" s="229"/>
      <c r="I48" s="30"/>
      <c r="J48" s="29"/>
    </row>
    <row r="49" spans="3:10" s="526" customFormat="1" ht="11.1" customHeight="1">
      <c r="F49" s="557"/>
      <c r="G49" s="29"/>
      <c r="H49" s="229"/>
      <c r="I49" s="30"/>
      <c r="J49" s="29"/>
    </row>
    <row r="50" spans="3:10" s="526" customFormat="1" ht="11.1" customHeight="1">
      <c r="F50" s="557"/>
      <c r="G50" s="29"/>
      <c r="H50" s="229"/>
      <c r="I50" s="30"/>
      <c r="J50" s="29"/>
    </row>
    <row r="51" spans="3:10" s="526" customFormat="1" ht="11.1" customHeight="1">
      <c r="F51" s="557"/>
      <c r="G51" s="29"/>
      <c r="H51" s="229"/>
      <c r="I51" s="30"/>
      <c r="J51" s="29"/>
    </row>
    <row r="52" spans="3:10" s="526" customFormat="1" ht="11.1" customHeight="1">
      <c r="F52" s="557"/>
      <c r="G52" s="29"/>
      <c r="H52" s="229"/>
      <c r="I52" s="30"/>
      <c r="J52" s="29"/>
    </row>
    <row r="53" spans="3:10" s="526" customFormat="1" ht="11.1" customHeight="1">
      <c r="F53" s="557"/>
      <c r="G53" s="29"/>
      <c r="H53" s="229"/>
      <c r="I53" s="30"/>
      <c r="J53" s="29"/>
    </row>
    <row r="54" spans="3:10" s="526" customFormat="1" ht="11.1" customHeight="1">
      <c r="F54" s="557"/>
      <c r="G54" s="29"/>
      <c r="H54" s="229"/>
      <c r="I54" s="30"/>
      <c r="J54" s="29"/>
    </row>
    <row r="55" spans="3:10" s="526" customFormat="1" ht="11.1" customHeight="1">
      <c r="F55" s="557"/>
      <c r="G55" s="29"/>
      <c r="H55" s="229"/>
      <c r="I55" s="30"/>
      <c r="J55" s="29"/>
    </row>
    <row r="56" spans="3:10" s="526" customFormat="1" ht="11.1" customHeight="1">
      <c r="F56" s="557"/>
      <c r="G56" s="29"/>
      <c r="H56" s="229"/>
      <c r="I56" s="30"/>
      <c r="J56" s="29"/>
    </row>
    <row r="57" spans="3:10" s="526" customFormat="1" ht="11.1" customHeight="1">
      <c r="F57" s="557"/>
      <c r="G57" s="29"/>
      <c r="H57" s="229"/>
      <c r="I57" s="30"/>
      <c r="J57" s="29"/>
    </row>
    <row r="58" spans="3:10" s="526" customFormat="1" ht="11.1" customHeight="1">
      <c r="F58" s="557"/>
      <c r="G58" s="29"/>
      <c r="H58" s="229"/>
      <c r="I58" s="30"/>
      <c r="J58" s="29"/>
    </row>
    <row r="59" spans="3:10" s="526" customFormat="1" ht="11.1" customHeight="1">
      <c r="F59" s="557"/>
      <c r="G59" s="29"/>
      <c r="H59" s="229"/>
      <c r="I59" s="30"/>
      <c r="J59" s="29"/>
    </row>
    <row r="60" spans="3:10" s="526" customFormat="1" ht="11.1" customHeight="1">
      <c r="F60" s="557"/>
      <c r="G60" s="29"/>
      <c r="H60" s="229"/>
      <c r="I60" s="30"/>
      <c r="J60" s="29"/>
    </row>
    <row r="61" spans="3:10" s="526" customFormat="1" ht="11.1" customHeight="1">
      <c r="C61" s="280"/>
      <c r="F61" s="557"/>
      <c r="G61" s="29"/>
      <c r="H61" s="229"/>
      <c r="I61" s="30"/>
      <c r="J61" s="29"/>
    </row>
    <row r="62" spans="3:10" s="526" customFormat="1" ht="11.1" customHeight="1">
      <c r="E62" s="1043"/>
      <c r="F62" s="557"/>
      <c r="G62" s="29"/>
      <c r="H62" s="229"/>
      <c r="I62" s="30"/>
      <c r="J62" s="29"/>
    </row>
    <row r="63" spans="3:10" s="526" customFormat="1" ht="11.1" customHeight="1">
      <c r="D63" s="1044"/>
      <c r="E63" s="1045"/>
      <c r="F63" s="557"/>
      <c r="G63" s="29"/>
      <c r="H63" s="229"/>
      <c r="I63" s="30"/>
      <c r="J63" s="29"/>
    </row>
    <row r="64" spans="3:10" s="526" customFormat="1" ht="11.1" customHeight="1">
      <c r="F64" s="557"/>
      <c r="G64" s="29"/>
      <c r="H64" s="229"/>
      <c r="I64" s="30"/>
      <c r="J64" s="29"/>
    </row>
    <row r="65" spans="6:10" s="526" customFormat="1" ht="11.1" customHeight="1">
      <c r="F65" s="557"/>
      <c r="G65" s="29"/>
      <c r="H65" s="229"/>
      <c r="I65" s="30"/>
      <c r="J65" s="29"/>
    </row>
    <row r="66" spans="6:10" s="526" customFormat="1" ht="11.1" customHeight="1">
      <c r="F66" s="557"/>
      <c r="G66" s="29"/>
      <c r="H66" s="229"/>
      <c r="I66" s="30"/>
      <c r="J66" s="29"/>
    </row>
    <row r="67" spans="6:10" s="526" customFormat="1" ht="11.1" customHeight="1">
      <c r="F67" s="557"/>
      <c r="G67" s="29"/>
      <c r="H67" s="229"/>
      <c r="I67" s="30"/>
      <c r="J67" s="29"/>
    </row>
    <row r="68" spans="6:10" s="526" customFormat="1" ht="11.1" customHeight="1">
      <c r="F68" s="557"/>
      <c r="G68" s="29"/>
      <c r="H68" s="229"/>
      <c r="I68" s="30"/>
      <c r="J68" s="29"/>
    </row>
    <row r="69" spans="6:10" s="526" customFormat="1" ht="11.1" customHeight="1">
      <c r="F69" s="557"/>
      <c r="G69" s="29"/>
      <c r="H69" s="229"/>
      <c r="I69" s="30"/>
      <c r="J69" s="29"/>
    </row>
    <row r="70" spans="6:10" s="526" customFormat="1" ht="11.1" customHeight="1">
      <c r="F70" s="557"/>
      <c r="G70" s="29"/>
      <c r="H70" s="229"/>
      <c r="I70" s="30"/>
      <c r="J70" s="29"/>
    </row>
    <row r="71" spans="6:10" s="526" customFormat="1" ht="11.25" customHeight="1">
      <c r="F71" s="557"/>
      <c r="G71" s="29"/>
      <c r="H71" s="229"/>
      <c r="I71" s="30"/>
      <c r="J71" s="29"/>
    </row>
    <row r="72" spans="6:10" s="76" customFormat="1" ht="9.9499999999999993" customHeight="1">
      <c r="F72" s="557"/>
      <c r="G72" s="29"/>
      <c r="H72" s="229"/>
      <c r="I72" s="30"/>
      <c r="J72" s="29"/>
    </row>
    <row r="73" spans="6:10" s="76" customFormat="1" ht="10.5" customHeight="1">
      <c r="F73" s="557"/>
      <c r="G73" s="29"/>
      <c r="H73" s="229"/>
      <c r="I73" s="30"/>
      <c r="J73" s="29"/>
    </row>
    <row r="74" spans="6:10" s="76" customFormat="1" ht="15.75" customHeight="1">
      <c r="F74" s="557"/>
      <c r="G74" s="364"/>
      <c r="H74" s="364"/>
      <c r="I74" s="30"/>
      <c r="J74" s="29"/>
    </row>
    <row r="75" spans="6:10" s="76" customFormat="1" ht="13.5" customHeight="1">
      <c r="F75" s="557"/>
      <c r="G75" s="364"/>
      <c r="H75" s="364"/>
      <c r="I75" s="30"/>
      <c r="J75" s="29"/>
    </row>
    <row r="76" spans="6:10" s="76" customFormat="1" ht="9" customHeight="1">
      <c r="F76" s="557"/>
      <c r="G76" s="364"/>
      <c r="H76" s="364"/>
      <c r="I76" s="30"/>
      <c r="J76" s="29"/>
    </row>
    <row r="77" spans="6:10" s="76" customFormat="1" ht="8.85" customHeight="1">
      <c r="F77" s="557"/>
      <c r="G77" s="364"/>
      <c r="H77" s="364"/>
      <c r="I77" s="30"/>
      <c r="J77" s="29"/>
    </row>
    <row r="78" spans="6:10" s="76" customFormat="1" ht="8.85" customHeight="1">
      <c r="F78" s="557"/>
      <c r="G78" s="364"/>
      <c r="H78" s="364"/>
      <c r="I78" s="30"/>
      <c r="J78" s="29"/>
    </row>
    <row r="79" spans="6:10" s="76" customFormat="1" ht="8.85" customHeight="1">
      <c r="F79" s="557"/>
      <c r="G79" s="364"/>
      <c r="H79" s="364"/>
      <c r="I79" s="30"/>
      <c r="J79" s="29"/>
    </row>
    <row r="80" spans="6:10" s="76" customFormat="1" ht="8.85" customHeight="1">
      <c r="F80" s="557"/>
      <c r="G80" s="364"/>
      <c r="H80" s="364"/>
      <c r="I80" s="30"/>
      <c r="J80" s="29"/>
    </row>
    <row r="81" spans="1:10" s="76" customFormat="1" ht="8.85" customHeight="1">
      <c r="F81" s="557"/>
      <c r="G81" s="364"/>
      <c r="H81" s="364"/>
      <c r="I81" s="30"/>
      <c r="J81" s="29"/>
    </row>
    <row r="82" spans="1:10" s="76" customFormat="1" ht="8.85" customHeight="1">
      <c r="F82" s="557"/>
      <c r="G82" s="364"/>
      <c r="H82" s="364"/>
      <c r="I82" s="30"/>
      <c r="J82" s="29"/>
    </row>
    <row r="83" spans="1:10" s="76" customFormat="1" ht="9.9499999999999993" customHeight="1">
      <c r="F83" s="478"/>
      <c r="G83" s="526"/>
      <c r="H83" s="526"/>
      <c r="I83" s="526"/>
      <c r="J83" s="526"/>
    </row>
    <row r="84" spans="1:10" s="76" customFormat="1" ht="9.9499999999999993" customHeight="1">
      <c r="F84" s="478"/>
      <c r="G84" s="526"/>
      <c r="H84" s="526"/>
      <c r="I84" s="526"/>
      <c r="J84" s="526"/>
    </row>
    <row r="85" spans="1:10" s="76" customFormat="1" ht="9.9499999999999993" customHeight="1">
      <c r="F85" s="478"/>
      <c r="G85" s="526"/>
      <c r="H85" s="526"/>
      <c r="I85" s="526"/>
      <c r="J85" s="526"/>
    </row>
    <row r="86" spans="1:10" s="76" customFormat="1" ht="11.1" customHeight="1">
      <c r="F86" s="478"/>
      <c r="G86" s="526"/>
      <c r="H86" s="526"/>
      <c r="I86" s="526"/>
      <c r="J86" s="526"/>
    </row>
    <row r="87" spans="1:10" s="76" customFormat="1" ht="11.1" customHeight="1">
      <c r="F87" s="478"/>
      <c r="G87" s="526"/>
      <c r="H87" s="526"/>
      <c r="I87" s="526"/>
      <c r="J87" s="526"/>
    </row>
    <row r="88" spans="1:10" s="76" customFormat="1" ht="11.1" customHeight="1">
      <c r="F88" s="478"/>
      <c r="G88" s="526"/>
      <c r="H88" s="526"/>
      <c r="I88" s="526"/>
      <c r="J88" s="526"/>
    </row>
    <row r="89" spans="1:10" s="76" customFormat="1" ht="11.1" customHeight="1">
      <c r="A89" s="526"/>
      <c r="B89" s="526"/>
      <c r="C89" s="526"/>
      <c r="D89" s="526"/>
      <c r="E89" s="526"/>
      <c r="F89" s="478"/>
      <c r="G89" s="526"/>
      <c r="H89" s="526"/>
      <c r="I89" s="526"/>
      <c r="J89" s="526"/>
    </row>
    <row r="90" spans="1:10" s="526" customFormat="1" ht="11.1" customHeight="1">
      <c r="A90" s="2"/>
      <c r="B90" s="2"/>
      <c r="C90" s="2"/>
      <c r="D90" s="2"/>
      <c r="E90" s="2"/>
      <c r="F90" s="478"/>
    </row>
    <row r="91" spans="1:10" ht="11.1" customHeight="1">
      <c r="B91" s="2"/>
      <c r="C91" s="2"/>
      <c r="D91" s="2"/>
      <c r="E91" s="2"/>
      <c r="F91" s="478"/>
      <c r="G91" s="526"/>
      <c r="H91" s="526"/>
      <c r="I91" s="526"/>
      <c r="J91" s="526"/>
    </row>
    <row r="92" spans="1:10" ht="11.1" customHeight="1">
      <c r="A92" s="101"/>
      <c r="B92" s="102"/>
      <c r="C92" s="102"/>
      <c r="D92" s="106"/>
      <c r="E92" s="1056"/>
      <c r="F92" s="478"/>
      <c r="G92" s="526"/>
      <c r="H92" s="526"/>
      <c r="I92" s="526"/>
      <c r="J92" s="526"/>
    </row>
    <row r="93" spans="1:10">
      <c r="A93" s="104"/>
      <c r="B93" s="105"/>
      <c r="C93" s="105"/>
      <c r="D93" s="106"/>
      <c r="E93" s="88"/>
      <c r="F93" s="478"/>
      <c r="G93" s="526"/>
      <c r="H93" s="526"/>
      <c r="I93" s="526"/>
      <c r="J93" s="526"/>
    </row>
    <row r="94" spans="1:10">
      <c r="A94" s="104"/>
      <c r="B94" s="105"/>
      <c r="C94" s="105"/>
      <c r="D94" s="106"/>
      <c r="E94" s="88"/>
      <c r="F94" s="478"/>
      <c r="G94" s="526"/>
      <c r="H94" s="526"/>
      <c r="I94" s="526"/>
      <c r="J94" s="526"/>
    </row>
    <row r="95" spans="1:10">
      <c r="A95" s="104"/>
      <c r="B95" s="105"/>
      <c r="C95" s="105"/>
      <c r="D95" s="106"/>
      <c r="E95" s="88"/>
      <c r="F95" s="478"/>
      <c r="G95" s="526"/>
      <c r="H95" s="526"/>
      <c r="I95" s="526"/>
      <c r="J95" s="526"/>
    </row>
    <row r="96" spans="1:10">
      <c r="A96" s="104"/>
      <c r="B96" s="105"/>
      <c r="C96" s="105"/>
      <c r="D96" s="106"/>
      <c r="E96" s="88"/>
      <c r="G96" s="526"/>
      <c r="H96" s="526"/>
      <c r="I96" s="526"/>
      <c r="J96" s="526"/>
    </row>
    <row r="97" spans="1:10">
      <c r="A97" s="104"/>
      <c r="B97" s="105"/>
      <c r="C97" s="105"/>
      <c r="D97" s="106"/>
      <c r="E97" s="88"/>
      <c r="G97" s="526"/>
      <c r="H97" s="526"/>
      <c r="I97" s="526"/>
      <c r="J97" s="526"/>
    </row>
    <row r="98" spans="1:10">
      <c r="A98" s="104"/>
      <c r="B98" s="105"/>
      <c r="C98" s="105"/>
      <c r="D98" s="106"/>
      <c r="E98" s="88"/>
      <c r="G98" s="526"/>
      <c r="H98" s="526"/>
      <c r="I98" s="526"/>
      <c r="J98" s="526"/>
    </row>
    <row r="99" spans="1:10">
      <c r="A99" s="104"/>
      <c r="B99" s="105"/>
      <c r="C99" s="105"/>
      <c r="D99" s="106"/>
      <c r="E99" s="88"/>
      <c r="G99" s="526"/>
      <c r="H99" s="526"/>
      <c r="I99" s="526"/>
      <c r="J99" s="526"/>
    </row>
    <row r="100" spans="1:10">
      <c r="A100" s="104"/>
      <c r="B100" s="105"/>
      <c r="C100" s="105"/>
      <c r="D100" s="106"/>
      <c r="E100" s="88"/>
      <c r="G100" s="526"/>
      <c r="H100" s="526"/>
      <c r="I100" s="526"/>
      <c r="J100" s="526"/>
    </row>
    <row r="101" spans="1:10">
      <c r="A101" s="104"/>
      <c r="B101" s="105"/>
      <c r="C101" s="105"/>
      <c r="D101" s="106"/>
      <c r="E101" s="88"/>
      <c r="G101" s="526"/>
      <c r="H101" s="526"/>
      <c r="I101" s="526"/>
      <c r="J101" s="526"/>
    </row>
    <row r="102" spans="1:10">
      <c r="A102" s="104"/>
      <c r="B102" s="105"/>
      <c r="C102" s="105"/>
      <c r="D102" s="106"/>
      <c r="E102" s="88"/>
      <c r="G102" s="526"/>
      <c r="H102" s="526"/>
      <c r="I102" s="526"/>
      <c r="J102" s="526"/>
    </row>
    <row r="103" spans="1:10">
      <c r="A103" s="104"/>
      <c r="B103" s="105"/>
      <c r="C103" s="105"/>
      <c r="D103" s="106"/>
      <c r="E103" s="88"/>
      <c r="G103" s="526"/>
      <c r="H103" s="526"/>
      <c r="I103" s="526"/>
      <c r="J103" s="526"/>
    </row>
    <row r="104" spans="1:10">
      <c r="G104" s="526"/>
      <c r="H104" s="526"/>
      <c r="I104" s="526"/>
      <c r="J104" s="526"/>
    </row>
    <row r="105" spans="1:10">
      <c r="G105" s="526"/>
      <c r="H105" s="526"/>
      <c r="I105" s="526"/>
      <c r="J105" s="526"/>
    </row>
    <row r="106" spans="1:10">
      <c r="G106" s="526"/>
      <c r="H106" s="526"/>
      <c r="I106" s="526"/>
      <c r="J106" s="526"/>
    </row>
    <row r="107" spans="1:10">
      <c r="G107" s="526"/>
      <c r="H107" s="526"/>
      <c r="I107" s="526"/>
      <c r="J107" s="526"/>
    </row>
    <row r="108" spans="1:10">
      <c r="A108" s="104"/>
      <c r="B108" s="102"/>
      <c r="C108" s="105"/>
      <c r="D108" s="106"/>
      <c r="E108" s="88"/>
      <c r="G108" s="526"/>
      <c r="H108" s="526"/>
      <c r="I108" s="526"/>
      <c r="J108" s="526"/>
    </row>
    <row r="109" spans="1:10">
      <c r="A109" s="104"/>
      <c r="B109" s="102"/>
      <c r="C109" s="105"/>
      <c r="D109" s="106"/>
      <c r="E109" s="88"/>
      <c r="G109" s="526"/>
      <c r="H109" s="526"/>
      <c r="I109" s="526"/>
      <c r="J109" s="526"/>
    </row>
    <row r="110" spans="1:10">
      <c r="A110" s="104"/>
      <c r="B110" s="105"/>
      <c r="C110" s="102"/>
      <c r="D110" s="106"/>
      <c r="E110" s="88"/>
      <c r="G110" s="526"/>
      <c r="H110" s="526"/>
      <c r="I110" s="526"/>
      <c r="J110" s="526"/>
    </row>
    <row r="111" spans="1:10">
      <c r="A111" s="104"/>
      <c r="B111" s="105"/>
      <c r="C111" s="105"/>
      <c r="D111" s="106"/>
      <c r="E111" s="88"/>
      <c r="G111" s="526"/>
      <c r="H111" s="526"/>
      <c r="I111" s="526"/>
      <c r="J111" s="526"/>
    </row>
    <row r="112" spans="1:10">
      <c r="A112" s="104"/>
      <c r="B112" s="102"/>
      <c r="C112" s="105"/>
      <c r="D112" s="106"/>
      <c r="E112" s="88"/>
    </row>
    <row r="113" spans="1:5">
      <c r="A113" s="104"/>
      <c r="B113" s="88"/>
      <c r="C113" s="105"/>
      <c r="D113" s="106"/>
      <c r="E113" s="88"/>
    </row>
    <row r="114" spans="1:5">
      <c r="A114" s="104"/>
      <c r="B114" s="1056"/>
      <c r="C114" s="102"/>
      <c r="D114" s="106"/>
      <c r="E114" s="88"/>
    </row>
    <row r="116" spans="1:5">
      <c r="A116" s="104"/>
      <c r="B116" s="106"/>
      <c r="C116" s="106"/>
      <c r="D116" s="106"/>
      <c r="E116" s="88"/>
    </row>
    <row r="117" spans="1:5">
      <c r="A117" s="104"/>
      <c r="B117" s="106"/>
      <c r="C117" s="106"/>
      <c r="D117" s="106"/>
      <c r="E117" s="88"/>
    </row>
    <row r="119" spans="1:5">
      <c r="A119" s="104"/>
      <c r="B119" s="2"/>
      <c r="C119" s="2"/>
      <c r="D119" s="106"/>
      <c r="E119" s="88"/>
    </row>
    <row r="120" spans="1:5">
      <c r="A120" s="104"/>
      <c r="B120" s="88"/>
      <c r="C120" s="88"/>
      <c r="D120" s="106"/>
      <c r="E120" s="88"/>
    </row>
    <row r="122" spans="1:5">
      <c r="A122" s="104"/>
      <c r="B122" s="88"/>
      <c r="C122" s="88"/>
      <c r="D122" s="106"/>
      <c r="E122" s="88"/>
    </row>
    <row r="123" spans="1:5">
      <c r="A123" s="104"/>
      <c r="B123" s="88"/>
      <c r="C123" s="88"/>
      <c r="D123" s="106"/>
      <c r="E123" s="88"/>
    </row>
    <row r="125" spans="1:5">
      <c r="A125" s="104"/>
      <c r="B125" s="88"/>
      <c r="C125" s="105"/>
      <c r="D125" s="106"/>
      <c r="E125" s="88"/>
    </row>
    <row r="126" spans="1:5">
      <c r="A126" s="104"/>
      <c r="B126" s="102"/>
      <c r="C126" s="1056"/>
      <c r="D126" s="106"/>
      <c r="E126" s="88"/>
    </row>
    <row r="127" spans="1:5">
      <c r="A127" s="8"/>
      <c r="B127" s="28"/>
      <c r="C127" s="28"/>
      <c r="D127" s="28"/>
      <c r="E127" s="28"/>
    </row>
    <row r="128" spans="1:5">
      <c r="A128" s="8"/>
      <c r="B128" s="28"/>
      <c r="C128" s="28"/>
      <c r="D128" s="28"/>
      <c r="E128" s="28"/>
    </row>
    <row r="129" spans="1:5"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45" firstPageNumber="52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4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47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82" t="s">
        <v>680</v>
      </c>
      <c r="B1" s="2182"/>
      <c r="C1" s="2182"/>
      <c r="D1" s="2182"/>
      <c r="E1" s="2182"/>
      <c r="F1" s="2182"/>
      <c r="G1" s="2182"/>
      <c r="H1" s="2182"/>
      <c r="I1" s="2182"/>
      <c r="J1" s="2181" t="s">
        <v>1490</v>
      </c>
      <c r="K1" s="2181"/>
      <c r="L1" s="2181"/>
      <c r="M1" s="2181"/>
      <c r="N1" s="2181"/>
      <c r="O1" s="2181"/>
      <c r="P1" s="2181"/>
      <c r="Q1" s="2183" t="s">
        <v>1206</v>
      </c>
      <c r="R1" s="2183"/>
    </row>
    <row r="2" spans="1:18" s="21" customFormat="1" ht="10.5" customHeight="1">
      <c r="B2" s="1213"/>
      <c r="C2" s="1213"/>
      <c r="D2" s="1213"/>
      <c r="E2" s="1213"/>
      <c r="F2" s="1213"/>
      <c r="G2" s="1213"/>
      <c r="J2" s="1213"/>
      <c r="K2" s="1213"/>
      <c r="L2" s="1213"/>
      <c r="M2" s="1213"/>
      <c r="N2" s="1213"/>
      <c r="O2" s="1213"/>
      <c r="P2" s="1213"/>
      <c r="Q2" s="2187" t="s">
        <v>24</v>
      </c>
      <c r="R2" s="2187"/>
    </row>
    <row r="3" spans="1:18" s="110" customFormat="1" ht="12.75" customHeight="1">
      <c r="A3" s="2188" t="s">
        <v>521</v>
      </c>
      <c r="B3" s="2184" t="s">
        <v>1344</v>
      </c>
      <c r="C3" s="2185"/>
      <c r="D3" s="2185"/>
      <c r="E3" s="2185"/>
      <c r="F3" s="2185"/>
      <c r="G3" s="2185"/>
      <c r="H3" s="2185"/>
      <c r="I3" s="2185"/>
      <c r="J3" s="2185"/>
      <c r="K3" s="2185"/>
      <c r="L3" s="2185"/>
      <c r="M3" s="2185"/>
      <c r="N3" s="2185"/>
      <c r="O3" s="2185"/>
      <c r="P3" s="2185"/>
      <c r="Q3" s="2186"/>
      <c r="R3" s="2188" t="s">
        <v>1019</v>
      </c>
    </row>
    <row r="4" spans="1:18" s="77" customFormat="1" ht="39.75" customHeight="1">
      <c r="A4" s="2188"/>
      <c r="B4" s="1717" t="s">
        <v>522</v>
      </c>
      <c r="C4" s="1717" t="s">
        <v>236</v>
      </c>
      <c r="D4" s="1717" t="s">
        <v>237</v>
      </c>
      <c r="E4" s="1717" t="s">
        <v>86</v>
      </c>
      <c r="F4" s="1717" t="s">
        <v>1387</v>
      </c>
      <c r="G4" s="1717" t="s">
        <v>1386</v>
      </c>
      <c r="H4" s="1717" t="s">
        <v>87</v>
      </c>
      <c r="I4" s="1717" t="s">
        <v>551</v>
      </c>
      <c r="J4" s="1717" t="s">
        <v>1385</v>
      </c>
      <c r="K4" s="1717" t="s">
        <v>1388</v>
      </c>
      <c r="L4" s="1717" t="s">
        <v>1389</v>
      </c>
      <c r="M4" s="1717" t="s">
        <v>89</v>
      </c>
      <c r="N4" s="1717" t="s">
        <v>552</v>
      </c>
      <c r="O4" s="1717" t="s">
        <v>244</v>
      </c>
      <c r="P4" s="1717" t="s">
        <v>288</v>
      </c>
      <c r="Q4" s="1717" t="s">
        <v>90</v>
      </c>
      <c r="R4" s="2188"/>
    </row>
    <row r="5" spans="1:18" s="100" customFormat="1" ht="12.75" customHeight="1">
      <c r="A5" s="480" t="s">
        <v>81</v>
      </c>
      <c r="B5" s="323">
        <v>64408.3</v>
      </c>
      <c r="C5" s="481">
        <v>28352.9</v>
      </c>
      <c r="D5" s="323">
        <v>2723.1</v>
      </c>
      <c r="E5" s="323">
        <v>9507.7999999999993</v>
      </c>
      <c r="F5" s="323">
        <v>4335.1000000000004</v>
      </c>
      <c r="G5" s="323">
        <v>30142.7</v>
      </c>
      <c r="H5" s="323">
        <v>61.1</v>
      </c>
      <c r="I5" s="323">
        <v>6098</v>
      </c>
      <c r="J5" s="323">
        <v>16282.4</v>
      </c>
      <c r="K5" s="323">
        <v>85.9</v>
      </c>
      <c r="L5" s="323">
        <v>2684.7</v>
      </c>
      <c r="M5" s="323">
        <v>5476.9</v>
      </c>
      <c r="N5" s="323">
        <v>10591.1</v>
      </c>
      <c r="O5" s="323">
        <v>31826.6</v>
      </c>
      <c r="P5" s="323">
        <v>15064.2</v>
      </c>
      <c r="Q5" s="323">
        <v>227640.80000000005</v>
      </c>
      <c r="R5" s="482" t="s">
        <v>81</v>
      </c>
    </row>
    <row r="6" spans="1:18" s="274" customFormat="1" ht="12.75" customHeight="1">
      <c r="A6" s="629" t="s">
        <v>199</v>
      </c>
      <c r="B6" s="281">
        <v>68061.899999999994</v>
      </c>
      <c r="C6" s="630">
        <v>28715.5</v>
      </c>
      <c r="D6" s="281">
        <v>3595.5</v>
      </c>
      <c r="E6" s="281">
        <v>12054.8</v>
      </c>
      <c r="F6" s="281">
        <v>5342</v>
      </c>
      <c r="G6" s="281">
        <v>28931.4</v>
      </c>
      <c r="H6" s="281">
        <v>79</v>
      </c>
      <c r="I6" s="281">
        <v>8229.2000000000007</v>
      </c>
      <c r="J6" s="281">
        <v>18080.8</v>
      </c>
      <c r="K6" s="281">
        <v>90.6</v>
      </c>
      <c r="L6" s="281">
        <v>1871.8</v>
      </c>
      <c r="M6" s="281">
        <v>7703</v>
      </c>
      <c r="N6" s="281">
        <v>14010.4</v>
      </c>
      <c r="O6" s="281">
        <v>22131.4</v>
      </c>
      <c r="P6" s="281">
        <v>13804.3</v>
      </c>
      <c r="Q6" s="281">
        <v>232701.59999999998</v>
      </c>
      <c r="R6" s="631" t="s">
        <v>199</v>
      </c>
    </row>
    <row r="7" spans="1:18" s="100" customFormat="1" ht="12.75" customHeight="1">
      <c r="A7" s="480" t="s">
        <v>792</v>
      </c>
      <c r="B7" s="323">
        <v>51238.6</v>
      </c>
      <c r="C7" s="481">
        <v>18987.8</v>
      </c>
      <c r="D7" s="323">
        <v>3588.1</v>
      </c>
      <c r="E7" s="323">
        <v>8631.4</v>
      </c>
      <c r="F7" s="323">
        <v>5117.6000000000004</v>
      </c>
      <c r="G7" s="323">
        <v>24813</v>
      </c>
      <c r="H7" s="323">
        <v>49.8</v>
      </c>
      <c r="I7" s="323">
        <v>4585</v>
      </c>
      <c r="J7" s="323">
        <v>16465.8</v>
      </c>
      <c r="K7" s="323">
        <v>48.8</v>
      </c>
      <c r="L7" s="323">
        <v>1187.3</v>
      </c>
      <c r="M7" s="323">
        <v>8386.2999999999993</v>
      </c>
      <c r="N7" s="323">
        <v>10716.9</v>
      </c>
      <c r="O7" s="323">
        <v>28924.3</v>
      </c>
      <c r="P7" s="323">
        <v>10503.380000000001</v>
      </c>
      <c r="Q7" s="323">
        <v>193244.07999999996</v>
      </c>
      <c r="R7" s="482" t="s">
        <v>792</v>
      </c>
    </row>
    <row r="8" spans="1:18" s="274" customFormat="1" ht="12.75" customHeight="1">
      <c r="A8" s="629" t="s">
        <v>908</v>
      </c>
      <c r="B8" s="281">
        <v>41710.1</v>
      </c>
      <c r="C8" s="630">
        <v>16994.599999999999</v>
      </c>
      <c r="D8" s="281">
        <v>4130.8</v>
      </c>
      <c r="E8" s="281">
        <v>9567</v>
      </c>
      <c r="F8" s="281">
        <v>8581.6</v>
      </c>
      <c r="G8" s="281">
        <v>29036.7</v>
      </c>
      <c r="H8" s="281">
        <v>49.5</v>
      </c>
      <c r="I8" s="281">
        <v>6418.5</v>
      </c>
      <c r="J8" s="281">
        <v>19754.099999999999</v>
      </c>
      <c r="K8" s="281">
        <v>32.9</v>
      </c>
      <c r="L8" s="281">
        <v>954.1</v>
      </c>
      <c r="M8" s="281">
        <v>9156.1</v>
      </c>
      <c r="N8" s="281">
        <v>10675.2</v>
      </c>
      <c r="O8" s="281">
        <v>27168.2</v>
      </c>
      <c r="P8" s="281">
        <v>13513.613000000001</v>
      </c>
      <c r="Q8" s="281">
        <v>197743.01300000004</v>
      </c>
      <c r="R8" s="631" t="s">
        <v>908</v>
      </c>
    </row>
    <row r="9" spans="1:18" s="175" customFormat="1" ht="12.75" customHeight="1">
      <c r="A9" s="714" t="s">
        <v>1108</v>
      </c>
      <c r="B9" s="328">
        <v>39281.1</v>
      </c>
      <c r="C9" s="328">
        <v>15318.1</v>
      </c>
      <c r="D9" s="328">
        <v>3431.1</v>
      </c>
      <c r="E9" s="328">
        <v>9860.7000000000007</v>
      </c>
      <c r="F9" s="328">
        <v>18418.5</v>
      </c>
      <c r="G9" s="328">
        <v>29365.5</v>
      </c>
      <c r="H9" s="328">
        <v>66.900000000000006</v>
      </c>
      <c r="I9" s="328">
        <v>8245.7999999999993</v>
      </c>
      <c r="J9" s="328">
        <v>30676.799999999999</v>
      </c>
      <c r="K9" s="328">
        <v>50.9</v>
      </c>
      <c r="L9" s="328">
        <v>1002.3</v>
      </c>
      <c r="M9" s="328">
        <v>15672.4</v>
      </c>
      <c r="N9" s="328">
        <v>9972.4</v>
      </c>
      <c r="O9" s="328">
        <v>43364.9</v>
      </c>
      <c r="P9" s="328">
        <v>13898.900999999998</v>
      </c>
      <c r="Q9" s="328">
        <v>238626.30099999998</v>
      </c>
      <c r="R9" s="715" t="s">
        <v>1108</v>
      </c>
    </row>
    <row r="10" spans="1:18" s="175" customFormat="1" ht="12.75" customHeight="1">
      <c r="A10" s="595" t="s">
        <v>1167</v>
      </c>
      <c r="B10" s="281">
        <v>36607.300000000003</v>
      </c>
      <c r="C10" s="281">
        <v>15119.2</v>
      </c>
      <c r="D10" s="281">
        <v>2884.8</v>
      </c>
      <c r="E10" s="281">
        <v>13566.4</v>
      </c>
      <c r="F10" s="281">
        <v>23673.8</v>
      </c>
      <c r="G10" s="281">
        <v>38616.1</v>
      </c>
      <c r="H10" s="281">
        <v>71.099999999999994</v>
      </c>
      <c r="I10" s="281">
        <v>9181.1</v>
      </c>
      <c r="J10" s="281">
        <v>38646.1</v>
      </c>
      <c r="K10" s="281">
        <v>256.60000000000002</v>
      </c>
      <c r="L10" s="281">
        <v>2095.3000000000002</v>
      </c>
      <c r="M10" s="281">
        <v>19413.8</v>
      </c>
      <c r="N10" s="281">
        <v>7528.3</v>
      </c>
      <c r="O10" s="281">
        <v>46505.8</v>
      </c>
      <c r="P10" s="281">
        <v>16021.86</v>
      </c>
      <c r="Q10" s="281">
        <v>270187.56</v>
      </c>
      <c r="R10" s="592" t="s">
        <v>1167</v>
      </c>
    </row>
    <row r="11" spans="1:18" s="502" customFormat="1" ht="12.75" customHeight="1">
      <c r="A11" s="604" t="s">
        <v>1299</v>
      </c>
      <c r="B11" s="323">
        <v>39555.603000000003</v>
      </c>
      <c r="C11" s="323">
        <v>14567.243</v>
      </c>
      <c r="D11" s="323">
        <v>3028.4430000000002</v>
      </c>
      <c r="E11" s="323">
        <v>15529.823</v>
      </c>
      <c r="F11" s="323">
        <v>24410.638999999999</v>
      </c>
      <c r="G11" s="323">
        <v>35133.678</v>
      </c>
      <c r="H11" s="323">
        <v>79.346999999999994</v>
      </c>
      <c r="I11" s="323">
        <v>8184.8909999999996</v>
      </c>
      <c r="J11" s="323">
        <v>43424.767999999996</v>
      </c>
      <c r="K11" s="323">
        <v>150.286</v>
      </c>
      <c r="L11" s="323">
        <v>1834.0039999999999</v>
      </c>
      <c r="M11" s="323">
        <v>14872.710999999999</v>
      </c>
      <c r="N11" s="323">
        <v>7141.9579999999996</v>
      </c>
      <c r="O11" s="323">
        <v>36209.4</v>
      </c>
      <c r="P11" s="323">
        <v>17324.168000000005</v>
      </c>
      <c r="Q11" s="323">
        <v>261446.962</v>
      </c>
      <c r="R11" s="605" t="s">
        <v>1299</v>
      </c>
    </row>
    <row r="12" spans="1:18" s="175" customFormat="1" ht="12.75" customHeight="1">
      <c r="A12" s="595" t="s">
        <v>1332</v>
      </c>
      <c r="B12" s="281">
        <v>56058.838000000003</v>
      </c>
      <c r="C12" s="281">
        <v>23379.762999999999</v>
      </c>
      <c r="D12" s="281">
        <v>4250.0659999999998</v>
      </c>
      <c r="E12" s="281">
        <v>19062.416000000001</v>
      </c>
      <c r="F12" s="281">
        <v>24719.441999999999</v>
      </c>
      <c r="G12" s="281">
        <v>40486.985999999997</v>
      </c>
      <c r="H12" s="281">
        <v>154.69</v>
      </c>
      <c r="I12" s="281">
        <v>12634.067999999999</v>
      </c>
      <c r="J12" s="281">
        <v>50185.283000000003</v>
      </c>
      <c r="K12" s="281">
        <v>192.57</v>
      </c>
      <c r="L12" s="281">
        <v>2533.12</v>
      </c>
      <c r="M12" s="281">
        <v>13144.56</v>
      </c>
      <c r="N12" s="281">
        <v>8648.9599999999991</v>
      </c>
      <c r="O12" s="281">
        <v>48484.847999999998</v>
      </c>
      <c r="P12" s="281">
        <v>20005.729999999996</v>
      </c>
      <c r="Q12" s="281">
        <v>323941.33999999997</v>
      </c>
      <c r="R12" s="592" t="s">
        <v>1332</v>
      </c>
    </row>
    <row r="13" spans="1:18" s="175" customFormat="1" ht="12.75" customHeight="1">
      <c r="A13" s="604" t="s">
        <v>1471</v>
      </c>
      <c r="B13" s="323">
        <v>56693.462</v>
      </c>
      <c r="C13" s="323">
        <v>21015.174999999999</v>
      </c>
      <c r="D13" s="323">
        <v>4080.9349999999999</v>
      </c>
      <c r="E13" s="323">
        <v>19059.028999999999</v>
      </c>
      <c r="F13" s="323">
        <v>27614.215</v>
      </c>
      <c r="G13" s="323">
        <v>39752.845000000001</v>
      </c>
      <c r="H13" s="323">
        <v>194.55099999999999</v>
      </c>
      <c r="I13" s="323">
        <v>11658.181</v>
      </c>
      <c r="J13" s="323">
        <v>52211.76</v>
      </c>
      <c r="K13" s="323">
        <v>215.678</v>
      </c>
      <c r="L13" s="323">
        <v>1912.181</v>
      </c>
      <c r="M13" s="323">
        <v>11754.666999999999</v>
      </c>
      <c r="N13" s="323">
        <v>8559.2569999999996</v>
      </c>
      <c r="O13" s="323">
        <v>54210.046000000002</v>
      </c>
      <c r="P13" s="323">
        <v>17379.812999999998</v>
      </c>
      <c r="Q13" s="323">
        <v>326311.7950000001</v>
      </c>
      <c r="R13" s="605" t="s">
        <v>1471</v>
      </c>
    </row>
    <row r="14" spans="1:18" s="175" customFormat="1" ht="12.75" customHeight="1">
      <c r="A14" s="595" t="s">
        <v>1600</v>
      </c>
      <c r="B14" s="281">
        <v>59295.131999999998</v>
      </c>
      <c r="C14" s="281">
        <v>18180.312000000002</v>
      </c>
      <c r="D14" s="281">
        <v>3559.5810000000001</v>
      </c>
      <c r="E14" s="281">
        <v>20264.021000000001</v>
      </c>
      <c r="F14" s="281">
        <v>31438.42</v>
      </c>
      <c r="G14" s="281">
        <v>48004.101000000002</v>
      </c>
      <c r="H14" s="281">
        <v>399.38499999999999</v>
      </c>
      <c r="I14" s="281">
        <v>14014.406999999999</v>
      </c>
      <c r="J14" s="281">
        <v>52831.345999999998</v>
      </c>
      <c r="K14" s="281">
        <v>1446.3230000000001</v>
      </c>
      <c r="L14" s="281">
        <v>1783.4949999999999</v>
      </c>
      <c r="M14" s="281">
        <v>9048.1380000000008</v>
      </c>
      <c r="N14" s="281">
        <v>10918.987999999999</v>
      </c>
      <c r="O14" s="281">
        <v>51422.195</v>
      </c>
      <c r="P14" s="281">
        <v>21009.715</v>
      </c>
      <c r="Q14" s="281">
        <v>343615.55900000007</v>
      </c>
      <c r="R14" s="592" t="s">
        <v>1600</v>
      </c>
    </row>
    <row r="15" spans="1:18" s="175" customFormat="1" ht="12.75" customHeight="1">
      <c r="A15" s="670" t="s">
        <v>1695</v>
      </c>
      <c r="B15" s="366">
        <v>44910.99</v>
      </c>
      <c r="C15" s="366">
        <v>12542.67</v>
      </c>
      <c r="D15" s="366">
        <v>2950.95</v>
      </c>
      <c r="E15" s="366">
        <v>13189.19</v>
      </c>
      <c r="F15" s="366">
        <v>20835.34</v>
      </c>
      <c r="G15" s="366">
        <v>36533.269999999997</v>
      </c>
      <c r="H15" s="366">
        <v>179.79</v>
      </c>
      <c r="I15" s="366">
        <v>9589.89</v>
      </c>
      <c r="J15" s="366">
        <v>46746.83</v>
      </c>
      <c r="K15" s="366">
        <v>962.58</v>
      </c>
      <c r="L15" s="366">
        <v>1304.19</v>
      </c>
      <c r="M15" s="366">
        <v>7189.48</v>
      </c>
      <c r="N15" s="366">
        <v>9150.66</v>
      </c>
      <c r="O15" s="366">
        <v>33674.9</v>
      </c>
      <c r="P15" s="366">
        <v>17815.13</v>
      </c>
      <c r="Q15" s="366">
        <v>257575.86</v>
      </c>
      <c r="R15" s="596" t="s">
        <v>1695</v>
      </c>
    </row>
    <row r="16" spans="1:18" s="177" customFormat="1" ht="12.75" customHeight="1">
      <c r="A16" s="618" t="s">
        <v>1764</v>
      </c>
      <c r="B16" s="374">
        <f>B28</f>
        <v>67962.134999999995</v>
      </c>
      <c r="C16" s="374">
        <f t="shared" ref="C16:Q16" si="0">C28</f>
        <v>21199.138999999999</v>
      </c>
      <c r="D16" s="374">
        <f t="shared" si="0"/>
        <v>4620.3789999999999</v>
      </c>
      <c r="E16" s="374">
        <f t="shared" si="0"/>
        <v>60387.34</v>
      </c>
      <c r="F16" s="374">
        <f t="shared" si="0"/>
        <v>38572.572</v>
      </c>
      <c r="G16" s="374">
        <f t="shared" si="0"/>
        <v>46586.7</v>
      </c>
      <c r="H16" s="374">
        <f t="shared" si="0"/>
        <v>198.36600000000001</v>
      </c>
      <c r="I16" s="374">
        <f t="shared" si="0"/>
        <v>14741.874</v>
      </c>
      <c r="J16" s="374">
        <f t="shared" si="0"/>
        <v>63825.078000000001</v>
      </c>
      <c r="K16" s="374">
        <f t="shared" si="0"/>
        <v>1509.154</v>
      </c>
      <c r="L16" s="374">
        <f t="shared" si="0"/>
        <v>2085.1729999999998</v>
      </c>
      <c r="M16" s="374">
        <f t="shared" si="0"/>
        <v>11936.501</v>
      </c>
      <c r="N16" s="374">
        <f t="shared" si="0"/>
        <v>22274.534</v>
      </c>
      <c r="O16" s="374">
        <f t="shared" si="0"/>
        <v>73061.112999999998</v>
      </c>
      <c r="P16" s="374">
        <f t="shared" si="0"/>
        <v>29821.007999999998</v>
      </c>
      <c r="Q16" s="374">
        <f t="shared" si="0"/>
        <v>458781.06599999999</v>
      </c>
      <c r="R16" s="619" t="s">
        <v>1764</v>
      </c>
    </row>
    <row r="17" spans="1:18" s="177" customFormat="1" ht="12.75" customHeight="1">
      <c r="A17" s="633" t="s">
        <v>606</v>
      </c>
      <c r="B17" s="653">
        <v>45904.79</v>
      </c>
      <c r="C17" s="653">
        <v>13001.08</v>
      </c>
      <c r="D17" s="653">
        <v>2968.67</v>
      </c>
      <c r="E17" s="653">
        <v>13507.92</v>
      </c>
      <c r="F17" s="653">
        <v>21350.39</v>
      </c>
      <c r="G17" s="653">
        <v>38179.449999999997</v>
      </c>
      <c r="H17" s="653">
        <v>177.93</v>
      </c>
      <c r="I17" s="653">
        <v>10134.17</v>
      </c>
      <c r="J17" s="653">
        <v>49737.84</v>
      </c>
      <c r="K17" s="653">
        <v>1492.77</v>
      </c>
      <c r="L17" s="653">
        <v>1396.14</v>
      </c>
      <c r="M17" s="653">
        <v>7281.56</v>
      </c>
      <c r="N17" s="653">
        <v>11627.56</v>
      </c>
      <c r="O17" s="653">
        <v>36621.919999999998</v>
      </c>
      <c r="P17" s="653">
        <f>1984.51+1784.92+2175.39+2487.72+9455.36+383.36</f>
        <v>18271.260000000002</v>
      </c>
      <c r="Q17" s="653">
        <f t="shared" ref="Q17:Q28" si="1">SUM(B17:P17)</f>
        <v>271653.45</v>
      </c>
      <c r="R17" s="605" t="s">
        <v>606</v>
      </c>
    </row>
    <row r="18" spans="1:18" s="177" customFormat="1" ht="12.75" customHeight="1">
      <c r="A18" s="591" t="s">
        <v>607</v>
      </c>
      <c r="B18" s="654">
        <v>53716.41</v>
      </c>
      <c r="C18" s="654">
        <v>16673.169999999998</v>
      </c>
      <c r="D18" s="654">
        <v>3463.75</v>
      </c>
      <c r="E18" s="654">
        <v>15327.55</v>
      </c>
      <c r="F18" s="654">
        <v>24897.19</v>
      </c>
      <c r="G18" s="654">
        <v>43733.47</v>
      </c>
      <c r="H18" s="654">
        <v>225.05</v>
      </c>
      <c r="I18" s="654">
        <v>11055.38</v>
      </c>
      <c r="J18" s="654">
        <v>57826.61</v>
      </c>
      <c r="K18" s="654">
        <v>1547.38</v>
      </c>
      <c r="L18" s="654">
        <v>1499.73</v>
      </c>
      <c r="M18" s="654">
        <v>8505.49</v>
      </c>
      <c r="N18" s="654">
        <v>12000.98</v>
      </c>
      <c r="O18" s="654">
        <v>45114.239999999998</v>
      </c>
      <c r="P18" s="654">
        <f>2233.18+1886.85+2340.5+2498.94+11558.28+388.5</f>
        <v>20906.25</v>
      </c>
      <c r="Q18" s="654">
        <f t="shared" si="1"/>
        <v>316492.65000000002</v>
      </c>
      <c r="R18" s="592" t="s">
        <v>607</v>
      </c>
    </row>
    <row r="19" spans="1:18" s="177" customFormat="1" ht="12.75" customHeight="1">
      <c r="A19" s="633" t="s">
        <v>601</v>
      </c>
      <c r="B19" s="653">
        <v>55240.76</v>
      </c>
      <c r="C19" s="653">
        <v>18106.400000000001</v>
      </c>
      <c r="D19" s="653">
        <v>4023.11</v>
      </c>
      <c r="E19" s="653">
        <v>38529.72</v>
      </c>
      <c r="F19" s="653">
        <v>25494.99</v>
      </c>
      <c r="G19" s="653">
        <v>44693.77</v>
      </c>
      <c r="H19" s="653">
        <v>227.73</v>
      </c>
      <c r="I19" s="653">
        <v>11782.03</v>
      </c>
      <c r="J19" s="653">
        <v>56445.760000000002</v>
      </c>
      <c r="K19" s="653">
        <v>1529.61</v>
      </c>
      <c r="L19" s="653">
        <v>1610.15</v>
      </c>
      <c r="M19" s="653">
        <v>7961.13</v>
      </c>
      <c r="N19" s="653">
        <v>13965.04</v>
      </c>
      <c r="O19" s="653">
        <v>46706.97</v>
      </c>
      <c r="P19" s="653">
        <f>10930.03+389.4+2555.15+2407.65+1830.53+2281.12</f>
        <v>20393.879999999997</v>
      </c>
      <c r="Q19" s="653">
        <f t="shared" si="1"/>
        <v>346711.04999999993</v>
      </c>
      <c r="R19" s="605" t="s">
        <v>601</v>
      </c>
    </row>
    <row r="20" spans="1:18" s="177" customFormat="1" ht="12.75" customHeight="1">
      <c r="A20" s="591" t="s">
        <v>608</v>
      </c>
      <c r="B20" s="654">
        <v>54473.438999999998</v>
      </c>
      <c r="C20" s="654">
        <v>17226.268</v>
      </c>
      <c r="D20" s="654">
        <v>4189.473</v>
      </c>
      <c r="E20" s="654">
        <v>35423.275000000001</v>
      </c>
      <c r="F20" s="654">
        <v>24840.187999999998</v>
      </c>
      <c r="G20" s="654">
        <v>44449.675999999999</v>
      </c>
      <c r="H20" s="654">
        <v>197.828</v>
      </c>
      <c r="I20" s="654">
        <v>10834.465</v>
      </c>
      <c r="J20" s="654">
        <v>55428.574999999997</v>
      </c>
      <c r="K20" s="654">
        <v>1428.9880000000001</v>
      </c>
      <c r="L20" s="654">
        <v>1454.0940000000001</v>
      </c>
      <c r="M20" s="654">
        <v>7662.2780000000002</v>
      </c>
      <c r="N20" s="654">
        <v>14611.948</v>
      </c>
      <c r="O20" s="654">
        <v>46719.231</v>
      </c>
      <c r="P20" s="280">
        <f>2146.15+1789.35+2309.8+2558.89+10381.96+400.4</f>
        <v>19586.550000000003</v>
      </c>
      <c r="Q20" s="281">
        <f t="shared" si="1"/>
        <v>338526.27600000001</v>
      </c>
      <c r="R20" s="592" t="s">
        <v>608</v>
      </c>
    </row>
    <row r="21" spans="1:18" s="177" customFormat="1" ht="12.75" customHeight="1">
      <c r="A21" s="633" t="s">
        <v>609</v>
      </c>
      <c r="B21" s="653">
        <v>55803.46</v>
      </c>
      <c r="C21" s="653">
        <v>15782.22</v>
      </c>
      <c r="D21" s="653">
        <v>4308.1499999999996</v>
      </c>
      <c r="E21" s="653">
        <v>35530.58</v>
      </c>
      <c r="F21" s="653">
        <v>26547.55</v>
      </c>
      <c r="G21" s="653">
        <v>42298.7</v>
      </c>
      <c r="H21" s="653">
        <v>200.54</v>
      </c>
      <c r="I21" s="653">
        <v>10299.450000000001</v>
      </c>
      <c r="J21" s="653">
        <v>51305.46</v>
      </c>
      <c r="K21" s="653">
        <v>1430.31</v>
      </c>
      <c r="L21" s="653">
        <v>1582.59</v>
      </c>
      <c r="M21" s="653">
        <v>7302.97</v>
      </c>
      <c r="N21" s="653">
        <v>16010.19</v>
      </c>
      <c r="O21" s="653">
        <v>45279.67</v>
      </c>
      <c r="P21" s="322">
        <f>2226.38+1784.92+2419.39+2535.16+10626.05+402.73</f>
        <v>19994.63</v>
      </c>
      <c r="Q21" s="323">
        <f t="shared" si="1"/>
        <v>333676.46999999997</v>
      </c>
      <c r="R21" s="605" t="s">
        <v>609</v>
      </c>
    </row>
    <row r="22" spans="1:18" s="177" customFormat="1" ht="12.75" customHeight="1">
      <c r="A22" s="591" t="s">
        <v>602</v>
      </c>
      <c r="B22" s="654">
        <v>57287.49</v>
      </c>
      <c r="C22" s="654">
        <v>19027.817999999999</v>
      </c>
      <c r="D22" s="654">
        <v>4192.0720000000001</v>
      </c>
      <c r="E22" s="654">
        <v>50166.298000000003</v>
      </c>
      <c r="F22" s="654">
        <v>30554.183000000001</v>
      </c>
      <c r="G22" s="654">
        <v>43090.321000000004</v>
      </c>
      <c r="H22" s="654">
        <v>285.98700000000002</v>
      </c>
      <c r="I22" s="654">
        <v>11180.782999999999</v>
      </c>
      <c r="J22" s="654">
        <v>60857.302000000003</v>
      </c>
      <c r="K22" s="654">
        <v>1555.653</v>
      </c>
      <c r="L22" s="654">
        <v>1878.347</v>
      </c>
      <c r="M22" s="654">
        <v>8890.8529999999992</v>
      </c>
      <c r="N22" s="654">
        <v>15995.231</v>
      </c>
      <c r="O22" s="654">
        <v>65217.036</v>
      </c>
      <c r="P22" s="280">
        <f>2435.75+1923.77+2598.01+2571.3+14162.15+407.37</f>
        <v>24098.350000000002</v>
      </c>
      <c r="Q22" s="281">
        <f t="shared" si="1"/>
        <v>394277.72399999999</v>
      </c>
      <c r="R22" s="592" t="s">
        <v>602</v>
      </c>
    </row>
    <row r="23" spans="1:18" s="177" customFormat="1" ht="12.75" customHeight="1">
      <c r="A23" s="633" t="s">
        <v>610</v>
      </c>
      <c r="B23" s="653">
        <v>59008.93</v>
      </c>
      <c r="C23" s="653">
        <v>20445.07</v>
      </c>
      <c r="D23" s="653">
        <v>4165.97</v>
      </c>
      <c r="E23" s="653">
        <v>48685.98</v>
      </c>
      <c r="F23" s="653">
        <v>37344.93</v>
      </c>
      <c r="G23" s="653">
        <v>46688.800000000003</v>
      </c>
      <c r="H23" s="653">
        <v>213.91</v>
      </c>
      <c r="I23" s="653">
        <v>10961.75</v>
      </c>
      <c r="J23" s="653">
        <v>61997.66</v>
      </c>
      <c r="K23" s="653">
        <v>1510.91</v>
      </c>
      <c r="L23" s="653">
        <v>1889.4</v>
      </c>
      <c r="M23" s="653">
        <v>9340.0499999999993</v>
      </c>
      <c r="N23" s="653">
        <v>14564.26</v>
      </c>
      <c r="O23" s="653">
        <v>80481.02</v>
      </c>
      <c r="P23" s="322">
        <f>2404.82+1849.12+2326.5+2421.62+17223.63+403.65</f>
        <v>26629.340000000004</v>
      </c>
      <c r="Q23" s="323">
        <f t="shared" si="1"/>
        <v>423927.98000000004</v>
      </c>
      <c r="R23" s="605" t="s">
        <v>610</v>
      </c>
    </row>
    <row r="24" spans="1:18" s="177" customFormat="1" ht="12.75" customHeight="1">
      <c r="A24" s="591" t="s">
        <v>611</v>
      </c>
      <c r="B24" s="654">
        <v>55392.421000000002</v>
      </c>
      <c r="C24" s="654">
        <v>18844.329000000002</v>
      </c>
      <c r="D24" s="654">
        <v>3865.0410000000002</v>
      </c>
      <c r="E24" s="654">
        <v>53865.669000000002</v>
      </c>
      <c r="F24" s="654">
        <v>37164.383999999998</v>
      </c>
      <c r="G24" s="654">
        <v>45192.144999999997</v>
      </c>
      <c r="H24" s="654">
        <v>211.41800000000001</v>
      </c>
      <c r="I24" s="654">
        <v>10683.844999999999</v>
      </c>
      <c r="J24" s="654">
        <v>60719.197</v>
      </c>
      <c r="K24" s="654">
        <v>1474.412</v>
      </c>
      <c r="L24" s="654">
        <v>1813.0920000000001</v>
      </c>
      <c r="M24" s="654">
        <v>9466.2209999999995</v>
      </c>
      <c r="N24" s="654">
        <v>14190.592000000001</v>
      </c>
      <c r="O24" s="654">
        <v>71313.664999999994</v>
      </c>
      <c r="P24" s="281">
        <v>26031.355</v>
      </c>
      <c r="Q24" s="281">
        <v>410227.78599999996</v>
      </c>
      <c r="R24" s="592" t="s">
        <v>611</v>
      </c>
    </row>
    <row r="25" spans="1:18" s="177" customFormat="1" ht="12.75" customHeight="1">
      <c r="A25" s="633" t="s">
        <v>603</v>
      </c>
      <c r="B25" s="653">
        <v>56275.055999999997</v>
      </c>
      <c r="C25" s="653">
        <v>16798.968000000001</v>
      </c>
      <c r="D25" s="653">
        <v>3631.607</v>
      </c>
      <c r="E25" s="653">
        <v>52344.114999999998</v>
      </c>
      <c r="F25" s="653">
        <v>37504.813000000002</v>
      </c>
      <c r="G25" s="653">
        <v>44256.908000000003</v>
      </c>
      <c r="H25" s="653">
        <v>210.91</v>
      </c>
      <c r="I25" s="653">
        <v>10369.204</v>
      </c>
      <c r="J25" s="653">
        <v>59121.771999999997</v>
      </c>
      <c r="K25" s="653">
        <v>1474.412</v>
      </c>
      <c r="L25" s="653">
        <v>1704.866</v>
      </c>
      <c r="M25" s="653">
        <v>9080.9060000000009</v>
      </c>
      <c r="N25" s="653">
        <v>13744.383</v>
      </c>
      <c r="O25" s="653">
        <v>70255.956000000006</v>
      </c>
      <c r="P25" s="323">
        <f>2229.326+1810.576+2427.182+2393.143+16896.475+409.42</f>
        <v>26166.121999999996</v>
      </c>
      <c r="Q25" s="323">
        <f t="shared" si="1"/>
        <v>402939.99799999996</v>
      </c>
      <c r="R25" s="605" t="s">
        <v>603</v>
      </c>
    </row>
    <row r="26" spans="1:18" s="177" customFormat="1" ht="12.75" customHeight="1">
      <c r="A26" s="591" t="s">
        <v>612</v>
      </c>
      <c r="B26" s="654">
        <v>55430.817000000003</v>
      </c>
      <c r="C26" s="654">
        <v>17395.937000000002</v>
      </c>
      <c r="D26" s="654">
        <v>3936.5079999999998</v>
      </c>
      <c r="E26" s="654">
        <v>52846.337</v>
      </c>
      <c r="F26" s="654">
        <v>36995.375999999997</v>
      </c>
      <c r="G26" s="654">
        <v>45578.646000000001</v>
      </c>
      <c r="H26" s="654">
        <v>242.65899999999999</v>
      </c>
      <c r="I26" s="654">
        <v>9516.6939999999995</v>
      </c>
      <c r="J26" s="654">
        <v>61782.07</v>
      </c>
      <c r="K26" s="654">
        <v>1431.671</v>
      </c>
      <c r="L26" s="654">
        <v>1792.346</v>
      </c>
      <c r="M26" s="654">
        <v>11098.737999999999</v>
      </c>
      <c r="N26" s="654">
        <v>16819.809000000001</v>
      </c>
      <c r="O26" s="654">
        <v>72308.048999999999</v>
      </c>
      <c r="P26" s="281">
        <f>2595.196+1847.727+2599.005+2161.138+18166.275+409.85</f>
        <v>27779.190999999999</v>
      </c>
      <c r="Q26" s="281">
        <f t="shared" si="1"/>
        <v>414954.848</v>
      </c>
      <c r="R26" s="592" t="s">
        <v>612</v>
      </c>
    </row>
    <row r="27" spans="1:18" s="177" customFormat="1" ht="12.75" customHeight="1">
      <c r="A27" s="633" t="s">
        <v>613</v>
      </c>
      <c r="B27" s="653">
        <v>69612.904999999999</v>
      </c>
      <c r="C27" s="653">
        <v>19976.498</v>
      </c>
      <c r="D27" s="653">
        <v>4591.7939999999999</v>
      </c>
      <c r="E27" s="653">
        <v>56795.377</v>
      </c>
      <c r="F27" s="653">
        <v>38592.192000000003</v>
      </c>
      <c r="G27" s="653">
        <v>46988.014999999999</v>
      </c>
      <c r="H27" s="653">
        <v>215.88900000000001</v>
      </c>
      <c r="I27" s="653">
        <v>11289.233</v>
      </c>
      <c r="J27" s="653">
        <v>61400.875999999997</v>
      </c>
      <c r="K27" s="653">
        <v>1443.9369999999999</v>
      </c>
      <c r="L27" s="653">
        <v>2037.3720000000001</v>
      </c>
      <c r="M27" s="653">
        <v>12170.941000000001</v>
      </c>
      <c r="N27" s="653">
        <v>19534.59</v>
      </c>
      <c r="O27" s="653">
        <v>74742.163</v>
      </c>
      <c r="P27" s="323">
        <f>2632.456+1887.974+3123.788+2174.146+18994.25+407.12</f>
        <v>29219.734</v>
      </c>
      <c r="Q27" s="323">
        <f t="shared" si="1"/>
        <v>448611.516</v>
      </c>
      <c r="R27" s="605" t="s">
        <v>613</v>
      </c>
    </row>
    <row r="28" spans="1:18" s="177" customFormat="1" ht="12.75" customHeight="1">
      <c r="A28" s="591" t="s">
        <v>604</v>
      </c>
      <c r="B28" s="654">
        <v>67962.134999999995</v>
      </c>
      <c r="C28" s="654">
        <v>21199.138999999999</v>
      </c>
      <c r="D28" s="654">
        <v>4620.3789999999999</v>
      </c>
      <c r="E28" s="654">
        <v>60387.34</v>
      </c>
      <c r="F28" s="654">
        <v>38572.572</v>
      </c>
      <c r="G28" s="654">
        <v>46586.7</v>
      </c>
      <c r="H28" s="654">
        <v>198.36600000000001</v>
      </c>
      <c r="I28" s="654">
        <v>14741.874</v>
      </c>
      <c r="J28" s="654">
        <v>63825.078000000001</v>
      </c>
      <c r="K28" s="654">
        <v>1509.154</v>
      </c>
      <c r="L28" s="654">
        <v>2085.1729999999998</v>
      </c>
      <c r="M28" s="654">
        <v>11936.501</v>
      </c>
      <c r="N28" s="654">
        <v>22274.534</v>
      </c>
      <c r="O28" s="654">
        <v>73061.112999999998</v>
      </c>
      <c r="P28" s="281">
        <f>2666.15+2166.045+3186.152+2010.917+19381.784+409.96</f>
        <v>29821.007999999998</v>
      </c>
      <c r="Q28" s="281">
        <f t="shared" si="1"/>
        <v>458781.06599999999</v>
      </c>
      <c r="R28" s="592" t="s">
        <v>604</v>
      </c>
    </row>
    <row r="29" spans="1:18" s="177" customFormat="1" ht="12.75" customHeight="1">
      <c r="A29" s="670" t="s">
        <v>2166</v>
      </c>
      <c r="B29" s="366">
        <f>B41</f>
        <v>68002.862999999998</v>
      </c>
      <c r="C29" s="366">
        <f t="shared" ref="C29:Q29" si="2">C41</f>
        <v>19726.462</v>
      </c>
      <c r="D29" s="366">
        <f t="shared" si="2"/>
        <v>3910.991</v>
      </c>
      <c r="E29" s="366">
        <f t="shared" si="2"/>
        <v>55260.614000000001</v>
      </c>
      <c r="F29" s="366">
        <f t="shared" si="2"/>
        <v>39234.875</v>
      </c>
      <c r="G29" s="366">
        <f t="shared" si="2"/>
        <v>47496.468999999997</v>
      </c>
      <c r="H29" s="366">
        <f t="shared" si="2"/>
        <v>197.02600000000001</v>
      </c>
      <c r="I29" s="366">
        <f t="shared" si="2"/>
        <v>17301.597000000002</v>
      </c>
      <c r="J29" s="366">
        <f t="shared" si="2"/>
        <v>71054.562000000005</v>
      </c>
      <c r="K29" s="366">
        <f t="shared" si="2"/>
        <v>2750.3130000000001</v>
      </c>
      <c r="L29" s="366">
        <f t="shared" si="2"/>
        <v>2611.3119999999999</v>
      </c>
      <c r="M29" s="366">
        <f t="shared" si="2"/>
        <v>11890.557000000001</v>
      </c>
      <c r="N29" s="366">
        <f t="shared" si="2"/>
        <v>16599.167000000001</v>
      </c>
      <c r="O29" s="366">
        <f t="shared" si="2"/>
        <v>59091.580999999998</v>
      </c>
      <c r="P29" s="366">
        <f t="shared" si="2"/>
        <v>41452.983999999997</v>
      </c>
      <c r="Q29" s="366">
        <f t="shared" si="2"/>
        <v>456581.37300000008</v>
      </c>
      <c r="R29" s="596" t="s">
        <v>2166</v>
      </c>
    </row>
    <row r="30" spans="1:18" s="177" customFormat="1" ht="12.75" customHeight="1">
      <c r="A30" s="591" t="s">
        <v>606</v>
      </c>
      <c r="B30" s="654">
        <v>67616.667000000001</v>
      </c>
      <c r="C30" s="654">
        <v>21474.644</v>
      </c>
      <c r="D30" s="654">
        <v>5208.3590000000004</v>
      </c>
      <c r="E30" s="654">
        <v>63651.858999999997</v>
      </c>
      <c r="F30" s="654">
        <v>40768.993000000002</v>
      </c>
      <c r="G30" s="654">
        <v>48679.767999999996</v>
      </c>
      <c r="H30" s="654">
        <v>209.76300000000001</v>
      </c>
      <c r="I30" s="654">
        <v>15480.004000000001</v>
      </c>
      <c r="J30" s="654">
        <v>68701.176000000007</v>
      </c>
      <c r="K30" s="654">
        <v>1786.6320000000001</v>
      </c>
      <c r="L30" s="654">
        <v>2388.04</v>
      </c>
      <c r="M30" s="654">
        <v>12470.279</v>
      </c>
      <c r="N30" s="654">
        <v>21766.792000000001</v>
      </c>
      <c r="O30" s="654">
        <v>76706.641000000003</v>
      </c>
      <c r="P30" s="281">
        <f>3160.995+2374.254+3567.953+2111.887+19997.069+408.8</f>
        <v>31620.957999999999</v>
      </c>
      <c r="Q30" s="281">
        <f t="shared" ref="Q30:Q45" si="3">SUM(B30:P30)</f>
        <v>478530.57499999995</v>
      </c>
      <c r="R30" s="592" t="s">
        <v>606</v>
      </c>
    </row>
    <row r="31" spans="1:18" s="177" customFormat="1" ht="12.75" customHeight="1">
      <c r="A31" s="633" t="s">
        <v>607</v>
      </c>
      <c r="B31" s="653">
        <v>72338.934999999998</v>
      </c>
      <c r="C31" s="653">
        <v>24931.061000000002</v>
      </c>
      <c r="D31" s="653">
        <v>4894.4399999999996</v>
      </c>
      <c r="E31" s="653">
        <v>65552.266000000003</v>
      </c>
      <c r="F31" s="653">
        <v>41875.334000000003</v>
      </c>
      <c r="G31" s="653">
        <v>53252.186999999998</v>
      </c>
      <c r="H31" s="653">
        <v>235.51400000000001</v>
      </c>
      <c r="I31" s="653">
        <v>17658.971000000001</v>
      </c>
      <c r="J31" s="653">
        <v>71320.922999999995</v>
      </c>
      <c r="K31" s="653">
        <v>1961.2760000000001</v>
      </c>
      <c r="L31" s="653">
        <v>2454.7869999999998</v>
      </c>
      <c r="M31" s="653">
        <v>15027.222</v>
      </c>
      <c r="N31" s="653">
        <v>22539.714</v>
      </c>
      <c r="O31" s="653">
        <v>74273.065000000002</v>
      </c>
      <c r="P31" s="323">
        <f>3505.414+2632.356+3915.536+2139.045+21598.28+413.12</f>
        <v>34203.751000000004</v>
      </c>
      <c r="Q31" s="323">
        <f t="shared" si="3"/>
        <v>502519.44600000005</v>
      </c>
      <c r="R31" s="605" t="s">
        <v>607</v>
      </c>
    </row>
    <row r="32" spans="1:18" s="177" customFormat="1" ht="12.75" customHeight="1">
      <c r="A32" s="591" t="s">
        <v>601</v>
      </c>
      <c r="B32" s="654">
        <v>72528.347999999998</v>
      </c>
      <c r="C32" s="654">
        <v>28541.094000000001</v>
      </c>
      <c r="D32" s="654">
        <v>4527.6099999999997</v>
      </c>
      <c r="E32" s="654">
        <v>64271.487000000001</v>
      </c>
      <c r="F32" s="654">
        <v>46096.470999999998</v>
      </c>
      <c r="G32" s="654">
        <v>56101.165000000001</v>
      </c>
      <c r="H32" s="654">
        <v>233.911</v>
      </c>
      <c r="I32" s="654">
        <v>18543.902999999998</v>
      </c>
      <c r="J32" s="654">
        <v>76436.865999999995</v>
      </c>
      <c r="K32" s="654">
        <v>2337.462</v>
      </c>
      <c r="L32" s="654">
        <v>3091.1930000000002</v>
      </c>
      <c r="M32" s="654">
        <v>16677.294000000002</v>
      </c>
      <c r="N32" s="654">
        <v>22544.861000000001</v>
      </c>
      <c r="O32" s="654">
        <v>76521.876000000004</v>
      </c>
      <c r="P32" s="281">
        <f>3603.217+3116.898+4202.551+2918.704+24204.75+408.47</f>
        <v>38454.590000000004</v>
      </c>
      <c r="Q32" s="281">
        <f t="shared" si="3"/>
        <v>526908.13099999994</v>
      </c>
      <c r="R32" s="592" t="s">
        <v>601</v>
      </c>
    </row>
    <row r="33" spans="1:18" s="177" customFormat="1" ht="12.75" customHeight="1">
      <c r="A33" s="633" t="s">
        <v>608</v>
      </c>
      <c r="B33" s="653">
        <v>73358.629000000001</v>
      </c>
      <c r="C33" s="653">
        <v>24399.685000000001</v>
      </c>
      <c r="D33" s="653">
        <v>4448.0540000000001</v>
      </c>
      <c r="E33" s="653">
        <v>58657.873</v>
      </c>
      <c r="F33" s="653">
        <v>44640.004000000001</v>
      </c>
      <c r="G33" s="653">
        <v>50731.190999999999</v>
      </c>
      <c r="H33" s="653">
        <v>200.41900000000001</v>
      </c>
      <c r="I33" s="653">
        <v>17652.591</v>
      </c>
      <c r="J33" s="653">
        <v>72165.013000000006</v>
      </c>
      <c r="K33" s="653">
        <v>2506.9430000000002</v>
      </c>
      <c r="L33" s="653">
        <v>2984.6959999999999</v>
      </c>
      <c r="M33" s="653">
        <v>14088.704</v>
      </c>
      <c r="N33" s="653">
        <v>21662.871999999999</v>
      </c>
      <c r="O33" s="653">
        <v>72845.698999999993</v>
      </c>
      <c r="P33" s="323">
        <f>3379.149+3535.982+3789.351+2552.163+25681.365+409.2</f>
        <v>39347.21</v>
      </c>
      <c r="Q33" s="323">
        <f t="shared" si="3"/>
        <v>499689.58300000004</v>
      </c>
      <c r="R33" s="605" t="s">
        <v>608</v>
      </c>
    </row>
    <row r="34" spans="1:18" s="177" customFormat="1" ht="12.75" customHeight="1">
      <c r="A34" s="591" t="s">
        <v>609</v>
      </c>
      <c r="B34" s="654">
        <v>74686.288</v>
      </c>
      <c r="C34" s="654">
        <v>22303.873</v>
      </c>
      <c r="D34" s="654">
        <v>4200.7</v>
      </c>
      <c r="E34" s="654">
        <v>54288.709000000003</v>
      </c>
      <c r="F34" s="654">
        <v>43231.059000000001</v>
      </c>
      <c r="G34" s="654">
        <v>45987.32</v>
      </c>
      <c r="H34" s="654">
        <v>184.53200000000001</v>
      </c>
      <c r="I34" s="654">
        <v>15694.451999999999</v>
      </c>
      <c r="J34" s="654">
        <v>68809.777000000002</v>
      </c>
      <c r="K34" s="654">
        <v>2408.192</v>
      </c>
      <c r="L34" s="654">
        <v>2667.009</v>
      </c>
      <c r="M34" s="654">
        <v>12967.087</v>
      </c>
      <c r="N34" s="654">
        <v>19594.955999999998</v>
      </c>
      <c r="O34" s="654">
        <v>69880.307000000001</v>
      </c>
      <c r="P34" s="281">
        <f>3035.109+3235.387+3896.489+2502.627+24565.925+410.5</f>
        <v>37646.036999999997</v>
      </c>
      <c r="Q34" s="281">
        <f t="shared" si="3"/>
        <v>474550.29800000007</v>
      </c>
      <c r="R34" s="592" t="s">
        <v>609</v>
      </c>
    </row>
    <row r="35" spans="1:18" s="177" customFormat="1" ht="12.75" customHeight="1">
      <c r="A35" s="633" t="s">
        <v>602</v>
      </c>
      <c r="B35" s="653">
        <v>72701.869000000006</v>
      </c>
      <c r="C35" s="653">
        <v>22836.344000000001</v>
      </c>
      <c r="D35" s="653">
        <v>4048.6019999999999</v>
      </c>
      <c r="E35" s="653">
        <v>56554.961000000003</v>
      </c>
      <c r="F35" s="653">
        <v>44558.463000000003</v>
      </c>
      <c r="G35" s="653">
        <v>46935.637999999999</v>
      </c>
      <c r="H35" s="653">
        <v>205.33500000000001</v>
      </c>
      <c r="I35" s="653">
        <v>16588.208999999999</v>
      </c>
      <c r="J35" s="653">
        <v>71619.951000000001</v>
      </c>
      <c r="K35" s="653">
        <v>3438.0740000000001</v>
      </c>
      <c r="L35" s="653">
        <v>2561.0839999999998</v>
      </c>
      <c r="M35" s="653">
        <v>12697.162</v>
      </c>
      <c r="N35" s="653">
        <v>21394.806</v>
      </c>
      <c r="O35" s="653">
        <v>68780.898000000001</v>
      </c>
      <c r="P35" s="323">
        <f>3063.666+3425.862+4024.182+2489.779+24706.434+616.693</f>
        <v>38326.616000000002</v>
      </c>
      <c r="Q35" s="653">
        <f t="shared" si="3"/>
        <v>483248.01199999993</v>
      </c>
      <c r="R35" s="605" t="s">
        <v>602</v>
      </c>
    </row>
    <row r="36" spans="1:18" s="177" customFormat="1" ht="12.75" customHeight="1">
      <c r="A36" s="591" t="s">
        <v>610</v>
      </c>
      <c r="B36" s="654">
        <v>74102.317999999999</v>
      </c>
      <c r="C36" s="654">
        <v>23240.934000000001</v>
      </c>
      <c r="D36" s="654">
        <v>4094.8620000000001</v>
      </c>
      <c r="E36" s="654">
        <v>55023.042000000001</v>
      </c>
      <c r="F36" s="654">
        <v>46242.385999999999</v>
      </c>
      <c r="G36" s="654">
        <v>49085.125999999997</v>
      </c>
      <c r="H36" s="654">
        <v>198.23099999999999</v>
      </c>
      <c r="I36" s="654">
        <v>17200.05</v>
      </c>
      <c r="J36" s="654">
        <v>73246.820000000007</v>
      </c>
      <c r="K36" s="654">
        <v>3264.96</v>
      </c>
      <c r="L36" s="654">
        <v>2953.6869999999999</v>
      </c>
      <c r="M36" s="654">
        <v>13302.677</v>
      </c>
      <c r="N36" s="654">
        <v>20937.788</v>
      </c>
      <c r="O36" s="654">
        <v>71370.222999999998</v>
      </c>
      <c r="P36" s="281">
        <f>3626.485+3867.507+3896.69+2668.602+25901.976+3167.879</f>
        <v>43129.138999999996</v>
      </c>
      <c r="Q36" s="281">
        <f t="shared" si="3"/>
        <v>497392.24300000002</v>
      </c>
      <c r="R36" s="592" t="s">
        <v>610</v>
      </c>
    </row>
    <row r="37" spans="1:18" s="177" customFormat="1" ht="12.75" customHeight="1">
      <c r="A37" s="633" t="s">
        <v>611</v>
      </c>
      <c r="B37" s="653">
        <v>72291.077999999994</v>
      </c>
      <c r="C37" s="653">
        <v>21076.091</v>
      </c>
      <c r="D37" s="653">
        <v>3979.1469999999999</v>
      </c>
      <c r="E37" s="653">
        <v>55657.616000000002</v>
      </c>
      <c r="F37" s="653">
        <v>43975.31</v>
      </c>
      <c r="G37" s="653">
        <v>48112.402999999998</v>
      </c>
      <c r="H37" s="653">
        <v>198.542</v>
      </c>
      <c r="I37" s="653">
        <v>17510.684000000001</v>
      </c>
      <c r="J37" s="653">
        <v>73002.744000000006</v>
      </c>
      <c r="K37" s="653">
        <v>3271.212</v>
      </c>
      <c r="L37" s="653">
        <v>2766.7849999999999</v>
      </c>
      <c r="M37" s="653">
        <v>12481.625</v>
      </c>
      <c r="N37" s="653">
        <v>19354.003000000001</v>
      </c>
      <c r="O37" s="653">
        <v>68007.065000000002</v>
      </c>
      <c r="P37" s="323">
        <f>3159.109+3963.523+3959.01+2706.379+25402.452+3228.127</f>
        <v>42418.6</v>
      </c>
      <c r="Q37" s="323">
        <f t="shared" si="3"/>
        <v>484102.90499999997</v>
      </c>
      <c r="R37" s="605" t="s">
        <v>611</v>
      </c>
    </row>
    <row r="38" spans="1:18" s="177" customFormat="1" ht="12.75" customHeight="1">
      <c r="A38" s="591" t="s">
        <v>603</v>
      </c>
      <c r="B38" s="654">
        <v>71126.676999999996</v>
      </c>
      <c r="C38" s="654">
        <v>20086.036</v>
      </c>
      <c r="D38" s="654">
        <v>4004.14</v>
      </c>
      <c r="E38" s="654">
        <v>55386.283000000003</v>
      </c>
      <c r="F38" s="654">
        <v>41982.940999999999</v>
      </c>
      <c r="G38" s="654">
        <v>48220.809000000001</v>
      </c>
      <c r="H38" s="654">
        <v>210.113</v>
      </c>
      <c r="I38" s="654">
        <v>17600.581999999999</v>
      </c>
      <c r="J38" s="654">
        <v>73000.616999999998</v>
      </c>
      <c r="K38" s="654">
        <v>3617.8380000000002</v>
      </c>
      <c r="L38" s="654">
        <v>2788.748</v>
      </c>
      <c r="M38" s="654">
        <v>13097.064</v>
      </c>
      <c r="N38" s="654">
        <v>19414.475999999999</v>
      </c>
      <c r="O38" s="654">
        <v>65508.468000000001</v>
      </c>
      <c r="P38" s="281">
        <f>3075.954+4273.947+4113.611+2787.241+25707.113+3300.574</f>
        <v>43258.44</v>
      </c>
      <c r="Q38" s="281">
        <f t="shared" si="3"/>
        <v>479303.23200000002</v>
      </c>
      <c r="R38" s="592" t="s">
        <v>603</v>
      </c>
    </row>
    <row r="39" spans="1:18" s="177" customFormat="1" ht="12.75" customHeight="1">
      <c r="A39" s="633" t="s">
        <v>612</v>
      </c>
      <c r="B39" s="653">
        <v>69887.167000000001</v>
      </c>
      <c r="C39" s="653">
        <v>20288.153999999999</v>
      </c>
      <c r="D39" s="653">
        <v>3926.46</v>
      </c>
      <c r="E39" s="653">
        <v>57739.375</v>
      </c>
      <c r="F39" s="653">
        <v>41462.281000000003</v>
      </c>
      <c r="G39" s="653">
        <v>47723.546000000002</v>
      </c>
      <c r="H39" s="653">
        <v>194.773</v>
      </c>
      <c r="I39" s="653">
        <v>17057.344000000001</v>
      </c>
      <c r="J39" s="653">
        <v>72877.839000000007</v>
      </c>
      <c r="K39" s="653">
        <v>3582.0680000000002</v>
      </c>
      <c r="L39" s="653">
        <v>2713.46</v>
      </c>
      <c r="M39" s="653">
        <v>13408.684999999999</v>
      </c>
      <c r="N39" s="653">
        <v>18093.829000000002</v>
      </c>
      <c r="O39" s="653">
        <v>63816.358999999997</v>
      </c>
      <c r="P39" s="323">
        <f>2961.14+3972.194+3827.826+3098.591+26236.438+3302.135</f>
        <v>43398.324000000001</v>
      </c>
      <c r="Q39" s="323">
        <f t="shared" si="3"/>
        <v>476169.66400000011</v>
      </c>
      <c r="R39" s="605" t="s">
        <v>612</v>
      </c>
    </row>
    <row r="40" spans="1:18" s="177" customFormat="1" ht="12.75" customHeight="1">
      <c r="A40" s="591" t="s">
        <v>613</v>
      </c>
      <c r="B40" s="654">
        <v>67958.615999999995</v>
      </c>
      <c r="C40" s="654">
        <v>19947.473000000002</v>
      </c>
      <c r="D40" s="654">
        <v>3842.8710000000001</v>
      </c>
      <c r="E40" s="654">
        <v>54301.131999999998</v>
      </c>
      <c r="F40" s="654">
        <v>39491.868999999999</v>
      </c>
      <c r="G40" s="654">
        <v>46463.408000000003</v>
      </c>
      <c r="H40" s="654">
        <v>187.649</v>
      </c>
      <c r="I40" s="654">
        <v>16745.438999999998</v>
      </c>
      <c r="J40" s="654">
        <v>71673.289000000004</v>
      </c>
      <c r="K40" s="654">
        <v>2634.3969999999999</v>
      </c>
      <c r="L40" s="654">
        <v>2581.65</v>
      </c>
      <c r="M40" s="654">
        <v>12142.59</v>
      </c>
      <c r="N40" s="654">
        <v>16205.163</v>
      </c>
      <c r="O40" s="654">
        <v>60452.281999999999</v>
      </c>
      <c r="P40" s="281">
        <f>3146.376+3666.206+3470.296+2764.997+24605.033+3270.67</f>
        <v>40923.577999999994</v>
      </c>
      <c r="Q40" s="281">
        <f t="shared" si="3"/>
        <v>455551.40600000002</v>
      </c>
      <c r="R40" s="592" t="s">
        <v>613</v>
      </c>
    </row>
    <row r="41" spans="1:18" s="177" customFormat="1" ht="12.75" customHeight="1">
      <c r="A41" s="633" t="s">
        <v>604</v>
      </c>
      <c r="B41" s="653">
        <v>68002.862999999998</v>
      </c>
      <c r="C41" s="653">
        <v>19726.462</v>
      </c>
      <c r="D41" s="653">
        <v>3910.991</v>
      </c>
      <c r="E41" s="653">
        <v>55260.614000000001</v>
      </c>
      <c r="F41" s="653">
        <v>39234.875</v>
      </c>
      <c r="G41" s="653">
        <v>47496.468999999997</v>
      </c>
      <c r="H41" s="653">
        <v>197.02600000000001</v>
      </c>
      <c r="I41" s="653">
        <v>17301.597000000002</v>
      </c>
      <c r="J41" s="653">
        <v>71054.562000000005</v>
      </c>
      <c r="K41" s="653">
        <v>2750.3130000000001</v>
      </c>
      <c r="L41" s="653">
        <v>2611.3119999999999</v>
      </c>
      <c r="M41" s="653">
        <v>11890.557000000001</v>
      </c>
      <c r="N41" s="653">
        <v>16599.167000000001</v>
      </c>
      <c r="O41" s="653">
        <v>59091.580999999998</v>
      </c>
      <c r="P41" s="323">
        <f>3609.269+3509.873+3355.183+2789.864+3843.877+24344.918</f>
        <v>41452.983999999997</v>
      </c>
      <c r="Q41" s="323">
        <f t="shared" si="3"/>
        <v>456581.37300000008</v>
      </c>
      <c r="R41" s="605" t="s">
        <v>604</v>
      </c>
    </row>
    <row r="42" spans="1:18" s="177" customFormat="1" ht="12.75" customHeight="1">
      <c r="A42" s="618" t="s">
        <v>2481</v>
      </c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281"/>
      <c r="Q42" s="281"/>
      <c r="R42" s="619" t="s">
        <v>2481</v>
      </c>
    </row>
    <row r="43" spans="1:18" s="177" customFormat="1" ht="12.75" customHeight="1">
      <c r="A43" s="633" t="s">
        <v>606</v>
      </c>
      <c r="B43" s="653">
        <v>65457.334000000003</v>
      </c>
      <c r="C43" s="653">
        <v>18985.407999999999</v>
      </c>
      <c r="D43" s="653">
        <v>3850.0590000000002</v>
      </c>
      <c r="E43" s="653">
        <v>52964.053999999996</v>
      </c>
      <c r="F43" s="653">
        <v>38037.769</v>
      </c>
      <c r="G43" s="653">
        <v>44805.618000000002</v>
      </c>
      <c r="H43" s="653">
        <v>196.75800000000001</v>
      </c>
      <c r="I43" s="653">
        <v>17535.436000000002</v>
      </c>
      <c r="J43" s="653">
        <v>69161.164000000004</v>
      </c>
      <c r="K43" s="653">
        <v>3447.7049999999999</v>
      </c>
      <c r="L43" s="653">
        <v>2434.6590000000001</v>
      </c>
      <c r="M43" s="653">
        <v>11352.082</v>
      </c>
      <c r="N43" s="653">
        <v>16430.512999999999</v>
      </c>
      <c r="O43" s="653">
        <v>59130.521000000001</v>
      </c>
      <c r="P43" s="323">
        <f>3210.582+3302.53+3189.413+2561.261+22850.107+3637.19</f>
        <v>38751.082999999999</v>
      </c>
      <c r="Q43" s="323">
        <f t="shared" si="3"/>
        <v>442540.16299999994</v>
      </c>
      <c r="R43" s="605" t="s">
        <v>606</v>
      </c>
    </row>
    <row r="44" spans="1:18" s="177" customFormat="1" ht="12.75" customHeight="1">
      <c r="A44" s="591" t="s">
        <v>607</v>
      </c>
      <c r="B44" s="654">
        <v>67671.425000000003</v>
      </c>
      <c r="C44" s="654">
        <v>20685.25</v>
      </c>
      <c r="D44" s="654">
        <v>3923.8380000000002</v>
      </c>
      <c r="E44" s="654">
        <v>54469.815999999999</v>
      </c>
      <c r="F44" s="654">
        <v>38395.036</v>
      </c>
      <c r="G44" s="654">
        <v>46088.813000000002</v>
      </c>
      <c r="H44" s="654">
        <v>204.357</v>
      </c>
      <c r="I44" s="654">
        <v>18899.857</v>
      </c>
      <c r="J44" s="654">
        <v>72271.921000000002</v>
      </c>
      <c r="K44" s="654">
        <v>4103.2349999999997</v>
      </c>
      <c r="L44" s="654">
        <v>3172.3960000000002</v>
      </c>
      <c r="M44" s="654">
        <v>12998.727999999999</v>
      </c>
      <c r="N44" s="654">
        <v>16844.252</v>
      </c>
      <c r="O44" s="654">
        <v>58266.019</v>
      </c>
      <c r="P44" s="281">
        <f>3360.252+3342.231+3353.405+3090.845+24151.746+3744.02</f>
        <v>41042.498999999996</v>
      </c>
      <c r="Q44" s="281">
        <f t="shared" si="3"/>
        <v>459037.44199999998</v>
      </c>
      <c r="R44" s="592" t="s">
        <v>607</v>
      </c>
    </row>
    <row r="45" spans="1:18" s="177" customFormat="1" ht="12.75" customHeight="1">
      <c r="A45" s="633" t="s">
        <v>601</v>
      </c>
      <c r="B45" s="653">
        <v>66553.089000000007</v>
      </c>
      <c r="C45" s="653">
        <v>19717.593000000001</v>
      </c>
      <c r="D45" s="653">
        <v>3863.2179999999998</v>
      </c>
      <c r="E45" s="653">
        <v>53799.815999999999</v>
      </c>
      <c r="F45" s="653">
        <v>38101.561000000002</v>
      </c>
      <c r="G45" s="653">
        <v>45677.81</v>
      </c>
      <c r="H45" s="653">
        <v>257.709</v>
      </c>
      <c r="I45" s="653">
        <v>17639.59</v>
      </c>
      <c r="J45" s="653">
        <v>75228.61</v>
      </c>
      <c r="K45" s="653">
        <v>4404.4759999999997</v>
      </c>
      <c r="L45" s="653">
        <v>3334.9690000000001</v>
      </c>
      <c r="M45" s="653">
        <v>12421.821</v>
      </c>
      <c r="N45" s="653">
        <v>16050.281999999999</v>
      </c>
      <c r="O45" s="653">
        <v>58143.56</v>
      </c>
      <c r="P45" s="323">
        <f>3447.751+3388.372+3812.563+4287.395+26258.445+3713.11</f>
        <v>44907.635999999999</v>
      </c>
      <c r="Q45" s="323">
        <f t="shared" si="3"/>
        <v>460101.74</v>
      </c>
      <c r="R45" s="605" t="s">
        <v>601</v>
      </c>
    </row>
    <row r="46" spans="1:18" s="177" customFormat="1" ht="12.75" customHeight="1">
      <c r="A46" s="591" t="s">
        <v>608</v>
      </c>
      <c r="B46" s="654">
        <v>66068.740000000005</v>
      </c>
      <c r="C46" s="654">
        <v>18769.64</v>
      </c>
      <c r="D46" s="654">
        <v>3862.13</v>
      </c>
      <c r="E46" s="654">
        <v>52994.66</v>
      </c>
      <c r="F46" s="654">
        <v>37547.46</v>
      </c>
      <c r="G46" s="654">
        <v>44821.36</v>
      </c>
      <c r="H46" s="654">
        <v>280.33</v>
      </c>
      <c r="I46" s="654">
        <v>17198.599999999999</v>
      </c>
      <c r="J46" s="654">
        <v>74236.570000000007</v>
      </c>
      <c r="K46" s="654">
        <v>5011.3</v>
      </c>
      <c r="L46" s="654">
        <v>3025.29</v>
      </c>
      <c r="M46" s="654">
        <v>11147.35</v>
      </c>
      <c r="N46" s="654">
        <v>15846.87</v>
      </c>
      <c r="O46" s="654">
        <v>58023.18</v>
      </c>
      <c r="P46" s="281">
        <f>3203.67+3210+3946.8+4536.15+23366.17+3712.51</f>
        <v>41975.3</v>
      </c>
      <c r="Q46" s="281">
        <f>SUM(B46:P46)</f>
        <v>450808.77999999991</v>
      </c>
      <c r="R46" s="592" t="s">
        <v>608</v>
      </c>
    </row>
    <row r="47" spans="1:18" s="177" customFormat="1" ht="12.75" customHeight="1" thickBot="1">
      <c r="A47" s="1616" t="s">
        <v>609</v>
      </c>
      <c r="B47" s="1725">
        <v>66617.14</v>
      </c>
      <c r="C47" s="1725">
        <v>18745.060000000001</v>
      </c>
      <c r="D47" s="1725">
        <v>3861.05</v>
      </c>
      <c r="E47" s="1725">
        <v>52191.35</v>
      </c>
      <c r="F47" s="1725">
        <v>37734.639999999999</v>
      </c>
      <c r="G47" s="1725">
        <v>44672.63</v>
      </c>
      <c r="H47" s="1725">
        <v>303.95999999999998</v>
      </c>
      <c r="I47" s="1725">
        <v>17150</v>
      </c>
      <c r="J47" s="1725">
        <v>72294.53</v>
      </c>
      <c r="K47" s="1725">
        <v>4160.53</v>
      </c>
      <c r="L47" s="1725">
        <v>2772.13</v>
      </c>
      <c r="M47" s="1725">
        <v>11285.57</v>
      </c>
      <c r="N47" s="1725">
        <v>16281.88</v>
      </c>
      <c r="O47" s="1725">
        <v>58023.18</v>
      </c>
      <c r="P47" s="524">
        <f>3246.17+3214.61+4070.61+4386.91+21922.89+3742</f>
        <v>40583.19</v>
      </c>
      <c r="Q47" s="524">
        <f>SUM(B47:P47)</f>
        <v>446676.84</v>
      </c>
      <c r="R47" s="1726" t="s">
        <v>609</v>
      </c>
    </row>
    <row r="48" spans="1:18" s="177" customFormat="1" ht="11.1" customHeight="1">
      <c r="A48" s="56" t="s">
        <v>1511</v>
      </c>
      <c r="B48" s="711" t="s">
        <v>1467</v>
      </c>
      <c r="C48" s="710"/>
      <c r="D48" s="710"/>
      <c r="E48" s="710"/>
      <c r="F48" s="710"/>
      <c r="G48" s="710"/>
      <c r="H48" s="102"/>
      <c r="I48" s="68"/>
      <c r="J48" s="2189" t="s">
        <v>1468</v>
      </c>
      <c r="K48" s="2189"/>
      <c r="L48" s="2189"/>
      <c r="M48" s="2189"/>
      <c r="N48" s="2189"/>
      <c r="O48" s="2189"/>
      <c r="P48" s="2189"/>
      <c r="Q48" s="2189"/>
      <c r="R48" s="2189"/>
    </row>
    <row r="49" spans="1:18" s="177" customFormat="1" ht="11.1" customHeight="1">
      <c r="A49" s="46"/>
      <c r="B49" s="1885"/>
      <c r="C49" s="1885"/>
      <c r="D49" s="190"/>
      <c r="E49" s="190"/>
      <c r="F49" s="190"/>
      <c r="G49" s="190"/>
      <c r="H49" s="16"/>
      <c r="I49" s="16"/>
      <c r="J49" s="1173" t="s">
        <v>16</v>
      </c>
      <c r="K49" s="1174" t="s">
        <v>1455</v>
      </c>
      <c r="L49" s="1174"/>
      <c r="M49" s="1174"/>
      <c r="N49" s="8"/>
      <c r="O49" s="16"/>
      <c r="P49" s="16"/>
      <c r="Q49" s="16"/>
      <c r="R49" s="74"/>
    </row>
    <row r="50" spans="1:18" s="177" customFormat="1" ht="11.1" customHeight="1">
      <c r="A50" s="17"/>
      <c r="B50" s="8"/>
      <c r="C50" s="8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17"/>
    </row>
    <row r="51" spans="1:18" s="177" customFormat="1" ht="11.1" customHeight="1">
      <c r="A51" s="612"/>
      <c r="Q51" s="532"/>
      <c r="R51" s="568"/>
    </row>
    <row r="52" spans="1:18" s="177" customFormat="1" ht="11.1" customHeight="1">
      <c r="A52" s="607"/>
      <c r="Q52" s="872"/>
      <c r="R52" s="568"/>
    </row>
    <row r="53" spans="1:18" s="177" customFormat="1" ht="11.1" customHeight="1">
      <c r="A53" s="46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90"/>
      <c r="R53" s="17"/>
    </row>
    <row r="54" spans="1:18" s="177" customFormat="1" ht="11.1" customHeight="1">
      <c r="A54" s="46"/>
      <c r="B54" s="8"/>
      <c r="C54" s="8"/>
      <c r="D54" s="8"/>
      <c r="E54" s="90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7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7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7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7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7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ht="9.75" customHeight="1">
      <c r="R60" s="17"/>
    </row>
    <row r="61" spans="1:18" ht="9.75" customHeight="1">
      <c r="R61" s="17"/>
    </row>
    <row r="62" spans="1:18">
      <c r="R62" s="17"/>
    </row>
    <row r="63" spans="1:18" s="177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7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9">
    <mergeCell ref="B49:C49"/>
    <mergeCell ref="J1:P1"/>
    <mergeCell ref="A1:I1"/>
    <mergeCell ref="Q1:R1"/>
    <mergeCell ref="B3:Q3"/>
    <mergeCell ref="Q2:R2"/>
    <mergeCell ref="R3:R4"/>
    <mergeCell ref="A3:A4"/>
    <mergeCell ref="J48:R48"/>
  </mergeCells>
  <phoneticPr fontId="43" type="noConversion"/>
  <pageMargins left="0.62992125984252001" right="0.55118110236220497" top="0.511811023622047" bottom="0.31496062992126" header="0.25" footer="0"/>
  <pageSetup paperSize="145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AF1" zoomScale="160" zoomScaleNormal="160" zoomScaleSheetLayoutView="120" workbookViewId="0">
      <pane ySplit="4" topLeftCell="A41" activePane="bottomLeft" state="frozen"/>
      <selection pane="bottomLeft" activeCell="BF19" sqref="BF19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8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9" customWidth="1"/>
    <col min="16" max="16" width="8.5703125" style="177" customWidth="1"/>
    <col min="17" max="17" width="6.85546875" style="177" customWidth="1"/>
    <col min="18" max="18" width="14.7109375" style="288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9" customWidth="1"/>
    <col min="24" max="24" width="5.42578125" style="177" customWidth="1"/>
    <col min="25" max="25" width="10.28515625" style="177" customWidth="1"/>
    <col min="26" max="26" width="7" style="290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90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90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90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90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96" t="s">
        <v>977</v>
      </c>
      <c r="B1" s="2196"/>
      <c r="C1" s="2196"/>
      <c r="D1" s="2196"/>
      <c r="E1" s="2196"/>
      <c r="F1" s="2196"/>
      <c r="G1" s="2196"/>
      <c r="H1" s="2196"/>
      <c r="I1" s="2196"/>
      <c r="J1" s="2197" t="s">
        <v>979</v>
      </c>
      <c r="K1" s="2197"/>
      <c r="L1" s="2197"/>
      <c r="M1" s="2197"/>
      <c r="N1" s="2197"/>
      <c r="O1" s="1022"/>
      <c r="P1" s="2198" t="s">
        <v>1781</v>
      </c>
      <c r="Q1" s="2198"/>
      <c r="R1" s="2198"/>
      <c r="X1" s="1022"/>
      <c r="Y1" s="2199" t="s">
        <v>978</v>
      </c>
      <c r="Z1" s="2199"/>
      <c r="AA1" s="2199"/>
      <c r="AB1" s="2197" t="s">
        <v>979</v>
      </c>
      <c r="AC1" s="2197"/>
      <c r="AD1" s="2197"/>
      <c r="AE1" s="2197"/>
      <c r="AF1" s="2197"/>
      <c r="AG1" s="1022"/>
      <c r="AH1" s="1022"/>
      <c r="AI1" s="2198" t="s">
        <v>1782</v>
      </c>
      <c r="AJ1" s="2198"/>
      <c r="AK1" s="272"/>
      <c r="AL1" s="1022"/>
      <c r="AM1" s="1022"/>
      <c r="AN1" s="1022"/>
      <c r="AO1" s="1022"/>
      <c r="AP1" s="2199" t="s">
        <v>978</v>
      </c>
      <c r="AQ1" s="2199"/>
      <c r="AR1" s="2199"/>
      <c r="AS1" s="2199"/>
      <c r="AT1" s="2197" t="s">
        <v>979</v>
      </c>
      <c r="AU1" s="2197"/>
      <c r="AV1" s="2197"/>
      <c r="AW1" s="2197"/>
      <c r="AX1" s="2197"/>
      <c r="AY1" s="1022"/>
      <c r="AZ1" s="1022"/>
      <c r="BA1" s="2199" t="s">
        <v>1782</v>
      </c>
      <c r="BB1" s="2200"/>
      <c r="BC1" s="1022"/>
      <c r="BD1" s="1022"/>
      <c r="BE1" s="1022"/>
      <c r="BF1" s="1022"/>
      <c r="BG1" s="1022"/>
      <c r="BH1" s="2199" t="s">
        <v>978</v>
      </c>
      <c r="BI1" s="2199"/>
      <c r="BJ1" s="2199"/>
      <c r="BK1" s="2199"/>
      <c r="BL1" s="2197" t="s">
        <v>979</v>
      </c>
      <c r="BM1" s="2197"/>
      <c r="BN1" s="2197"/>
      <c r="BO1" s="2197"/>
      <c r="BP1" s="2197"/>
      <c r="BQ1" s="1022"/>
      <c r="BR1" s="2199" t="s">
        <v>1207</v>
      </c>
      <c r="BS1" s="2199"/>
      <c r="BT1" s="2199"/>
    </row>
    <row r="2" spans="1:72" s="110" customFormat="1" ht="12.75" customHeight="1">
      <c r="A2" s="1201"/>
      <c r="B2" s="1201"/>
      <c r="C2" s="1201"/>
      <c r="D2" s="1201"/>
      <c r="E2" s="1201"/>
      <c r="F2" s="1201"/>
      <c r="G2" s="1201"/>
      <c r="H2" s="1201"/>
      <c r="I2" s="1201"/>
      <c r="J2" s="1202"/>
      <c r="K2" s="1202"/>
      <c r="L2" s="1202"/>
      <c r="M2" s="1202"/>
      <c r="N2" s="1202"/>
      <c r="O2" s="1203"/>
      <c r="P2" s="1204"/>
      <c r="Q2" s="1204"/>
      <c r="R2" s="1205" t="s">
        <v>1783</v>
      </c>
      <c r="S2" s="1206"/>
      <c r="T2" s="1206"/>
      <c r="U2" s="1206"/>
      <c r="V2" s="1206"/>
      <c r="W2" s="1206"/>
      <c r="X2" s="1203"/>
      <c r="Y2" s="1207"/>
      <c r="Z2" s="1207"/>
      <c r="AA2" s="1207"/>
      <c r="AB2" s="1202"/>
      <c r="AC2" s="1202"/>
      <c r="AD2" s="1202"/>
      <c r="AE2" s="1202"/>
      <c r="AF2" s="1202"/>
      <c r="AG2" s="1203"/>
      <c r="AH2" s="1203"/>
      <c r="AI2" s="1204"/>
      <c r="AJ2" s="1205" t="s">
        <v>1784</v>
      </c>
      <c r="AK2" s="1208"/>
      <c r="AL2" s="1203"/>
      <c r="AM2" s="1203"/>
      <c r="AN2" s="1203"/>
      <c r="AO2" s="1203"/>
      <c r="AP2" s="1207"/>
      <c r="AQ2" s="1207"/>
      <c r="AR2" s="1207"/>
      <c r="AS2" s="1207"/>
      <c r="AT2" s="1202"/>
      <c r="AU2" s="1202"/>
      <c r="AV2" s="1202"/>
      <c r="AW2" s="1202"/>
      <c r="AX2" s="1202"/>
      <c r="AY2" s="1203"/>
      <c r="AZ2" s="1203"/>
      <c r="BA2" s="1207"/>
      <c r="BB2" s="1209" t="s">
        <v>24</v>
      </c>
      <c r="BC2" s="1203"/>
      <c r="BD2" s="1203"/>
      <c r="BE2" s="1203"/>
      <c r="BF2" s="1203"/>
      <c r="BG2" s="1203"/>
      <c r="BH2" s="1207"/>
      <c r="BI2" s="1207"/>
      <c r="BJ2" s="1207"/>
      <c r="BK2" s="1207"/>
      <c r="BL2" s="1202"/>
      <c r="BM2" s="1202"/>
      <c r="BN2" s="1202"/>
      <c r="BO2" s="1202"/>
      <c r="BP2" s="1202"/>
      <c r="BQ2" s="1203"/>
      <c r="BR2" s="1207"/>
      <c r="BS2" s="1207"/>
      <c r="BT2" s="1209" t="s">
        <v>24</v>
      </c>
    </row>
    <row r="3" spans="1:72" s="236" customFormat="1" ht="17.25" customHeight="1">
      <c r="A3" s="2194" t="s">
        <v>1785</v>
      </c>
      <c r="B3" s="2194" t="s">
        <v>1786</v>
      </c>
      <c r="C3" s="2194" t="s">
        <v>1787</v>
      </c>
      <c r="D3" s="2190" t="s">
        <v>1788</v>
      </c>
      <c r="E3" s="2190" t="s">
        <v>1789</v>
      </c>
      <c r="F3" s="2190" t="s">
        <v>2125</v>
      </c>
      <c r="G3" s="2190" t="s">
        <v>1790</v>
      </c>
      <c r="H3" s="2190" t="s">
        <v>2079</v>
      </c>
      <c r="I3" s="2190" t="s">
        <v>1791</v>
      </c>
      <c r="J3" s="2194" t="s">
        <v>1785</v>
      </c>
      <c r="K3" s="2194" t="s">
        <v>1786</v>
      </c>
      <c r="L3" s="2194" t="s">
        <v>1787</v>
      </c>
      <c r="M3" s="2190" t="s">
        <v>1788</v>
      </c>
      <c r="N3" s="2190" t="s">
        <v>1789</v>
      </c>
      <c r="O3" s="2190" t="s">
        <v>2125</v>
      </c>
      <c r="P3" s="2190" t="s">
        <v>1792</v>
      </c>
      <c r="Q3" s="2190" t="s">
        <v>2079</v>
      </c>
      <c r="R3" s="2190" t="s">
        <v>1791</v>
      </c>
      <c r="S3" s="2194" t="s">
        <v>1785</v>
      </c>
      <c r="T3" s="2194" t="s">
        <v>1786</v>
      </c>
      <c r="U3" s="2194" t="s">
        <v>1787</v>
      </c>
      <c r="V3" s="2190" t="s">
        <v>1788</v>
      </c>
      <c r="W3" s="2190" t="s">
        <v>1789</v>
      </c>
      <c r="X3" s="2190" t="s">
        <v>2283</v>
      </c>
      <c r="Y3" s="2190" t="s">
        <v>1790</v>
      </c>
      <c r="Z3" s="2190" t="s">
        <v>2079</v>
      </c>
      <c r="AA3" s="2190" t="s">
        <v>1791</v>
      </c>
      <c r="AB3" s="2194" t="s">
        <v>1785</v>
      </c>
      <c r="AC3" s="2194" t="s">
        <v>1786</v>
      </c>
      <c r="AD3" s="2194" t="s">
        <v>1787</v>
      </c>
      <c r="AE3" s="2190" t="s">
        <v>1788</v>
      </c>
      <c r="AF3" s="2190" t="s">
        <v>1789</v>
      </c>
      <c r="AG3" s="2190" t="s">
        <v>2125</v>
      </c>
      <c r="AH3" s="2190" t="s">
        <v>1790</v>
      </c>
      <c r="AI3" s="2190" t="s">
        <v>2079</v>
      </c>
      <c r="AJ3" s="2190" t="s">
        <v>1791</v>
      </c>
      <c r="AK3" s="2194" t="s">
        <v>1785</v>
      </c>
      <c r="AL3" s="2194" t="s">
        <v>1786</v>
      </c>
      <c r="AM3" s="2194" t="s">
        <v>1787</v>
      </c>
      <c r="AN3" s="2190" t="s">
        <v>1788</v>
      </c>
      <c r="AO3" s="2190" t="s">
        <v>1789</v>
      </c>
      <c r="AP3" s="2190" t="s">
        <v>2125</v>
      </c>
      <c r="AQ3" s="2190" t="s">
        <v>1790</v>
      </c>
      <c r="AR3" s="2190" t="s">
        <v>2284</v>
      </c>
      <c r="AS3" s="2190" t="s">
        <v>1791</v>
      </c>
      <c r="AT3" s="2194" t="s">
        <v>1785</v>
      </c>
      <c r="AU3" s="2194" t="s">
        <v>1786</v>
      </c>
      <c r="AV3" s="2194" t="s">
        <v>1787</v>
      </c>
      <c r="AW3" s="2190" t="s">
        <v>1788</v>
      </c>
      <c r="AX3" s="2190" t="s">
        <v>1789</v>
      </c>
      <c r="AY3" s="2190" t="s">
        <v>2283</v>
      </c>
      <c r="AZ3" s="2190" t="s">
        <v>1790</v>
      </c>
      <c r="BA3" s="2190" t="s">
        <v>2284</v>
      </c>
      <c r="BB3" s="2190" t="s">
        <v>1791</v>
      </c>
      <c r="BC3" s="2194" t="s">
        <v>1785</v>
      </c>
      <c r="BD3" s="2194" t="s">
        <v>1786</v>
      </c>
      <c r="BE3" s="2194" t="s">
        <v>1787</v>
      </c>
      <c r="BF3" s="2190" t="s">
        <v>1788</v>
      </c>
      <c r="BG3" s="2190" t="s">
        <v>1789</v>
      </c>
      <c r="BH3" s="2191" t="s">
        <v>2285</v>
      </c>
      <c r="BI3" s="2190" t="s">
        <v>1790</v>
      </c>
      <c r="BJ3" s="2190" t="s">
        <v>2286</v>
      </c>
      <c r="BK3" s="2190" t="s">
        <v>1791</v>
      </c>
      <c r="BL3" s="2203" t="s">
        <v>1785</v>
      </c>
      <c r="BM3" s="2203" t="s">
        <v>2080</v>
      </c>
      <c r="BN3" s="2194" t="s">
        <v>1787</v>
      </c>
      <c r="BO3" s="2190" t="s">
        <v>1788</v>
      </c>
      <c r="BP3" s="2190" t="s">
        <v>1789</v>
      </c>
      <c r="BQ3" s="2190" t="s">
        <v>2125</v>
      </c>
      <c r="BR3" s="2190" t="s">
        <v>1790</v>
      </c>
      <c r="BS3" s="2190" t="s">
        <v>2079</v>
      </c>
      <c r="BT3" s="2190" t="s">
        <v>1791</v>
      </c>
    </row>
    <row r="4" spans="1:72" s="70" customFormat="1" ht="27.75" customHeight="1">
      <c r="A4" s="2195"/>
      <c r="B4" s="2195"/>
      <c r="C4" s="2195"/>
      <c r="D4" s="2191"/>
      <c r="E4" s="2191"/>
      <c r="F4" s="2191"/>
      <c r="G4" s="2192"/>
      <c r="H4" s="2192"/>
      <c r="I4" s="2192"/>
      <c r="J4" s="2195"/>
      <c r="K4" s="2195"/>
      <c r="L4" s="2195"/>
      <c r="M4" s="2191"/>
      <c r="N4" s="2191"/>
      <c r="O4" s="2191"/>
      <c r="P4" s="2192"/>
      <c r="Q4" s="2192"/>
      <c r="R4" s="2192"/>
      <c r="S4" s="2195"/>
      <c r="T4" s="2195"/>
      <c r="U4" s="2195"/>
      <c r="V4" s="2191"/>
      <c r="W4" s="2191"/>
      <c r="X4" s="2191"/>
      <c r="Y4" s="2192"/>
      <c r="Z4" s="2192"/>
      <c r="AA4" s="2192"/>
      <c r="AB4" s="2195"/>
      <c r="AC4" s="2195"/>
      <c r="AD4" s="2195"/>
      <c r="AE4" s="2191"/>
      <c r="AF4" s="2191"/>
      <c r="AG4" s="2191"/>
      <c r="AH4" s="2192"/>
      <c r="AI4" s="2192"/>
      <c r="AJ4" s="2192"/>
      <c r="AK4" s="2195"/>
      <c r="AL4" s="2195"/>
      <c r="AM4" s="2195"/>
      <c r="AN4" s="2191"/>
      <c r="AO4" s="2191"/>
      <c r="AP4" s="2191"/>
      <c r="AQ4" s="2192"/>
      <c r="AR4" s="2192"/>
      <c r="AS4" s="2192"/>
      <c r="AT4" s="2195"/>
      <c r="AU4" s="2195"/>
      <c r="AV4" s="2195"/>
      <c r="AW4" s="2191"/>
      <c r="AX4" s="2191"/>
      <c r="AY4" s="2191"/>
      <c r="AZ4" s="2192"/>
      <c r="BA4" s="2192"/>
      <c r="BB4" s="2192"/>
      <c r="BC4" s="2195"/>
      <c r="BD4" s="2195"/>
      <c r="BE4" s="2195"/>
      <c r="BF4" s="2191"/>
      <c r="BG4" s="2191"/>
      <c r="BH4" s="2191"/>
      <c r="BI4" s="2192"/>
      <c r="BJ4" s="2192"/>
      <c r="BK4" s="2192"/>
      <c r="BL4" s="2204"/>
      <c r="BM4" s="2204"/>
      <c r="BN4" s="2195"/>
      <c r="BO4" s="2191"/>
      <c r="BP4" s="2191"/>
      <c r="BQ4" s="2191"/>
      <c r="BR4" s="2192"/>
      <c r="BS4" s="2192"/>
      <c r="BT4" s="2192"/>
    </row>
    <row r="5" spans="1:72" s="278" customFormat="1" ht="12.95" customHeight="1">
      <c r="A5" s="2201" t="s">
        <v>1793</v>
      </c>
      <c r="B5" s="2202"/>
      <c r="C5" s="2202"/>
      <c r="D5" s="2202"/>
      <c r="E5" s="2202"/>
      <c r="F5" s="1040"/>
      <c r="G5" s="1040"/>
      <c r="H5" s="1040"/>
      <c r="I5" s="1040"/>
      <c r="J5" s="785">
        <v>41</v>
      </c>
      <c r="K5" s="886" t="s">
        <v>1999</v>
      </c>
      <c r="L5" s="886">
        <v>10</v>
      </c>
      <c r="M5" s="886" t="s">
        <v>2000</v>
      </c>
      <c r="N5" s="886" t="s">
        <v>2001</v>
      </c>
      <c r="O5" s="919">
        <v>8.39</v>
      </c>
      <c r="P5" s="886" t="s">
        <v>2002</v>
      </c>
      <c r="Q5" s="919">
        <v>6.99</v>
      </c>
      <c r="R5" s="919">
        <v>3000</v>
      </c>
      <c r="S5" s="785">
        <v>82</v>
      </c>
      <c r="T5" s="886" t="s">
        <v>2194</v>
      </c>
      <c r="U5" s="886">
        <v>15</v>
      </c>
      <c r="V5" s="886" t="s">
        <v>2195</v>
      </c>
      <c r="W5" s="886" t="s">
        <v>2196</v>
      </c>
      <c r="X5" s="919">
        <v>10.6</v>
      </c>
      <c r="Y5" s="886" t="s">
        <v>306</v>
      </c>
      <c r="Z5" s="919">
        <v>10.6</v>
      </c>
      <c r="AA5" s="919">
        <v>150</v>
      </c>
      <c r="AB5" s="785">
        <v>123</v>
      </c>
      <c r="AC5" s="919" t="s">
        <v>2200</v>
      </c>
      <c r="AD5" s="886">
        <v>15</v>
      </c>
      <c r="AE5" s="886" t="s">
        <v>2201</v>
      </c>
      <c r="AF5" s="886" t="s">
        <v>2202</v>
      </c>
      <c r="AG5" s="919">
        <v>12.3</v>
      </c>
      <c r="AH5" s="886" t="s">
        <v>306</v>
      </c>
      <c r="AI5" s="919">
        <v>12.3</v>
      </c>
      <c r="AJ5" s="919">
        <v>100</v>
      </c>
      <c r="AK5" s="785">
        <v>164</v>
      </c>
      <c r="AL5" s="886" t="s">
        <v>1953</v>
      </c>
      <c r="AM5" s="886">
        <v>20</v>
      </c>
      <c r="AN5" s="919" t="s">
        <v>34</v>
      </c>
      <c r="AO5" s="886" t="s">
        <v>46</v>
      </c>
      <c r="AP5" s="919">
        <v>13.139999999999999</v>
      </c>
      <c r="AQ5" s="886" t="s">
        <v>306</v>
      </c>
      <c r="AR5" s="919">
        <v>13.139999999999999</v>
      </c>
      <c r="AS5" s="919">
        <v>50</v>
      </c>
      <c r="AT5" s="785">
        <v>205</v>
      </c>
      <c r="AU5" s="886" t="s">
        <v>1954</v>
      </c>
      <c r="AV5" s="886">
        <v>20</v>
      </c>
      <c r="AW5" s="919" t="s">
        <v>1352</v>
      </c>
      <c r="AX5" s="886" t="s">
        <v>1358</v>
      </c>
      <c r="AY5" s="919">
        <v>11.5</v>
      </c>
      <c r="AZ5" s="886" t="s">
        <v>306</v>
      </c>
      <c r="BA5" s="919">
        <v>11.5</v>
      </c>
      <c r="BB5" s="919">
        <v>175</v>
      </c>
      <c r="BC5" s="542">
        <v>246</v>
      </c>
      <c r="BD5" s="1007" t="s">
        <v>1955</v>
      </c>
      <c r="BE5" s="1007">
        <v>20</v>
      </c>
      <c r="BF5" s="886" t="s">
        <v>1956</v>
      </c>
      <c r="BG5" s="886" t="s">
        <v>1957</v>
      </c>
      <c r="BH5" s="919">
        <v>9.1999999999999993</v>
      </c>
      <c r="BI5" s="886" t="s">
        <v>2400</v>
      </c>
      <c r="BJ5" s="588">
        <v>7.5</v>
      </c>
      <c r="BK5" s="782">
        <v>4500</v>
      </c>
      <c r="BL5" s="2201" t="s">
        <v>2287</v>
      </c>
      <c r="BM5" s="2202"/>
      <c r="BN5" s="2202"/>
      <c r="BO5" s="2202"/>
      <c r="BP5" s="2202"/>
      <c r="BQ5" s="1040"/>
      <c r="BR5" s="1040"/>
      <c r="BS5" s="1040"/>
      <c r="BT5" s="1040"/>
    </row>
    <row r="6" spans="1:72" s="278" customFormat="1" ht="13.35" customHeight="1">
      <c r="A6" s="280">
        <v>1</v>
      </c>
      <c r="B6" s="939" t="s">
        <v>2107</v>
      </c>
      <c r="C6" s="859">
        <v>2</v>
      </c>
      <c r="D6" s="859" t="s">
        <v>2108</v>
      </c>
      <c r="E6" s="859" t="s">
        <v>2109</v>
      </c>
      <c r="F6" s="703">
        <v>3.14</v>
      </c>
      <c r="G6" s="859" t="s">
        <v>2117</v>
      </c>
      <c r="H6" s="703">
        <v>3.24</v>
      </c>
      <c r="I6" s="703">
        <v>4500</v>
      </c>
      <c r="J6" s="237">
        <v>42</v>
      </c>
      <c r="K6" s="859" t="s">
        <v>2010</v>
      </c>
      <c r="L6" s="859">
        <v>10</v>
      </c>
      <c r="M6" s="859" t="s">
        <v>1314</v>
      </c>
      <c r="N6" s="859" t="s">
        <v>1315</v>
      </c>
      <c r="O6" s="703">
        <v>7.39</v>
      </c>
      <c r="P6" s="859" t="s">
        <v>1033</v>
      </c>
      <c r="Q6" s="703">
        <v>7.29</v>
      </c>
      <c r="R6" s="703">
        <v>2600</v>
      </c>
      <c r="S6" s="237">
        <v>83</v>
      </c>
      <c r="T6" s="859" t="s">
        <v>1975</v>
      </c>
      <c r="U6" s="859">
        <v>15</v>
      </c>
      <c r="V6" s="859" t="s">
        <v>703</v>
      </c>
      <c r="W6" s="859" t="s">
        <v>704</v>
      </c>
      <c r="X6" s="703">
        <v>10.09</v>
      </c>
      <c r="Y6" s="859" t="s">
        <v>306</v>
      </c>
      <c r="Z6" s="703">
        <v>10.09</v>
      </c>
      <c r="AA6" s="703">
        <v>80</v>
      </c>
      <c r="AB6" s="237">
        <v>124</v>
      </c>
      <c r="AC6" s="703" t="s">
        <v>1976</v>
      </c>
      <c r="AD6" s="859">
        <v>15</v>
      </c>
      <c r="AE6" s="859" t="s">
        <v>1093</v>
      </c>
      <c r="AF6" s="859" t="s">
        <v>1094</v>
      </c>
      <c r="AG6" s="703">
        <v>12.379999999999999</v>
      </c>
      <c r="AH6" s="859" t="s">
        <v>306</v>
      </c>
      <c r="AI6" s="703">
        <v>12.379999999999999</v>
      </c>
      <c r="AJ6" s="703">
        <v>100</v>
      </c>
      <c r="AK6" s="237">
        <v>165</v>
      </c>
      <c r="AL6" s="859" t="s">
        <v>1963</v>
      </c>
      <c r="AM6" s="859">
        <v>20</v>
      </c>
      <c r="AN6" s="859" t="s">
        <v>35</v>
      </c>
      <c r="AO6" s="859" t="s">
        <v>47</v>
      </c>
      <c r="AP6" s="703">
        <v>13.13</v>
      </c>
      <c r="AQ6" s="859" t="s">
        <v>306</v>
      </c>
      <c r="AR6" s="703">
        <v>13.13</v>
      </c>
      <c r="AS6" s="703">
        <v>50</v>
      </c>
      <c r="AT6" s="237">
        <v>206</v>
      </c>
      <c r="AU6" s="859" t="s">
        <v>1964</v>
      </c>
      <c r="AV6" s="859">
        <v>20</v>
      </c>
      <c r="AW6" s="859" t="s">
        <v>1965</v>
      </c>
      <c r="AX6" s="859" t="s">
        <v>1361</v>
      </c>
      <c r="AY6" s="703">
        <v>11.95</v>
      </c>
      <c r="AZ6" s="859" t="s">
        <v>306</v>
      </c>
      <c r="BA6" s="703">
        <v>11.95</v>
      </c>
      <c r="BB6" s="703">
        <v>250</v>
      </c>
      <c r="BC6" s="249">
        <v>247</v>
      </c>
      <c r="BD6" s="1023" t="s">
        <v>1966</v>
      </c>
      <c r="BE6" s="1023">
        <v>20</v>
      </c>
      <c r="BF6" s="859" t="s">
        <v>1758</v>
      </c>
      <c r="BG6" s="859" t="s">
        <v>1760</v>
      </c>
      <c r="BH6" s="703">
        <v>8.94</v>
      </c>
      <c r="BI6" s="859" t="s">
        <v>2139</v>
      </c>
      <c r="BJ6" s="587">
        <v>6.64</v>
      </c>
      <c r="BK6" s="850">
        <v>4500</v>
      </c>
      <c r="BL6" s="237">
        <v>1</v>
      </c>
      <c r="BM6" s="1081" t="s">
        <v>2146</v>
      </c>
      <c r="BN6" s="1024">
        <v>7</v>
      </c>
      <c r="BO6" s="956" t="s">
        <v>2144</v>
      </c>
      <c r="BP6" s="859" t="s">
        <v>2145</v>
      </c>
      <c r="BQ6" s="1171">
        <v>5</v>
      </c>
      <c r="BR6" s="847" t="s">
        <v>306</v>
      </c>
      <c r="BS6" s="587">
        <v>5</v>
      </c>
      <c r="BT6" s="587">
        <v>1438.54</v>
      </c>
    </row>
    <row r="7" spans="1:72" s="278" customFormat="1" ht="13.35" customHeight="1">
      <c r="A7" s="322">
        <v>2</v>
      </c>
      <c r="B7" s="941" t="s">
        <v>2134</v>
      </c>
      <c r="C7" s="886">
        <v>2</v>
      </c>
      <c r="D7" s="886" t="s">
        <v>2135</v>
      </c>
      <c r="E7" s="886" t="s">
        <v>2136</v>
      </c>
      <c r="F7" s="919">
        <v>2.99</v>
      </c>
      <c r="G7" s="886" t="s">
        <v>2156</v>
      </c>
      <c r="H7" s="919">
        <v>2.4900000000000002</v>
      </c>
      <c r="I7" s="919">
        <v>4300</v>
      </c>
      <c r="J7" s="785">
        <v>43</v>
      </c>
      <c r="K7" s="886" t="s">
        <v>2018</v>
      </c>
      <c r="L7" s="886">
        <v>10</v>
      </c>
      <c r="M7" s="886" t="s">
        <v>1334</v>
      </c>
      <c r="N7" s="886" t="s">
        <v>1335</v>
      </c>
      <c r="O7" s="919">
        <v>7.59</v>
      </c>
      <c r="P7" s="886" t="s">
        <v>1357</v>
      </c>
      <c r="Q7" s="919">
        <v>6.89</v>
      </c>
      <c r="R7" s="919">
        <v>2700</v>
      </c>
      <c r="S7" s="785">
        <v>84</v>
      </c>
      <c r="T7" s="886" t="s">
        <v>1982</v>
      </c>
      <c r="U7" s="886">
        <v>15</v>
      </c>
      <c r="V7" s="886" t="s">
        <v>705</v>
      </c>
      <c r="W7" s="886" t="s">
        <v>706</v>
      </c>
      <c r="X7" s="919">
        <v>9.39</v>
      </c>
      <c r="Y7" s="886" t="s">
        <v>306</v>
      </c>
      <c r="Z7" s="919">
        <v>9.39</v>
      </c>
      <c r="AA7" s="919">
        <v>150</v>
      </c>
      <c r="AB7" s="785">
        <v>125</v>
      </c>
      <c r="AC7" s="919" t="s">
        <v>1983</v>
      </c>
      <c r="AD7" s="886">
        <v>15</v>
      </c>
      <c r="AE7" s="886" t="s">
        <v>1095</v>
      </c>
      <c r="AF7" s="886" t="s">
        <v>1096</v>
      </c>
      <c r="AG7" s="919">
        <v>12.379999999999999</v>
      </c>
      <c r="AH7" s="886" t="s">
        <v>306</v>
      </c>
      <c r="AI7" s="919">
        <v>12.379999999999999</v>
      </c>
      <c r="AJ7" s="919">
        <v>200</v>
      </c>
      <c r="AK7" s="785">
        <v>166</v>
      </c>
      <c r="AL7" s="886" t="s">
        <v>2203</v>
      </c>
      <c r="AM7" s="886">
        <v>20</v>
      </c>
      <c r="AN7" s="919" t="s">
        <v>2204</v>
      </c>
      <c r="AO7" s="886" t="s">
        <v>2205</v>
      </c>
      <c r="AP7" s="919">
        <v>13.09</v>
      </c>
      <c r="AQ7" s="886" t="s">
        <v>306</v>
      </c>
      <c r="AR7" s="919">
        <v>13.09</v>
      </c>
      <c r="AS7" s="919">
        <v>50</v>
      </c>
      <c r="AT7" s="785">
        <v>207</v>
      </c>
      <c r="AU7" s="886" t="s">
        <v>2209</v>
      </c>
      <c r="AV7" s="886">
        <v>20</v>
      </c>
      <c r="AW7" s="886" t="s">
        <v>2210</v>
      </c>
      <c r="AX7" s="886" t="s">
        <v>2211</v>
      </c>
      <c r="AY7" s="919">
        <v>12</v>
      </c>
      <c r="AZ7" s="886" t="s">
        <v>306</v>
      </c>
      <c r="BA7" s="919">
        <v>12</v>
      </c>
      <c r="BB7" s="919">
        <v>250</v>
      </c>
      <c r="BC7" s="542">
        <v>248</v>
      </c>
      <c r="BD7" s="1007" t="s">
        <v>2157</v>
      </c>
      <c r="BE7" s="1007">
        <v>20</v>
      </c>
      <c r="BF7" s="886" t="s">
        <v>2155</v>
      </c>
      <c r="BG7" s="886" t="s">
        <v>2158</v>
      </c>
      <c r="BH7" s="919">
        <v>6.07</v>
      </c>
      <c r="BI7" s="886" t="s">
        <v>2387</v>
      </c>
      <c r="BJ7" s="588">
        <v>7.64</v>
      </c>
      <c r="BK7" s="782">
        <v>4400</v>
      </c>
      <c r="BL7" s="785">
        <v>2</v>
      </c>
      <c r="BM7" s="1082" t="s">
        <v>2146</v>
      </c>
      <c r="BN7" s="1025">
        <v>7</v>
      </c>
      <c r="BO7" s="955" t="s">
        <v>2144</v>
      </c>
      <c r="BP7" s="886" t="s">
        <v>2145</v>
      </c>
      <c r="BQ7" s="1083" t="s">
        <v>2143</v>
      </c>
      <c r="BR7" s="904" t="s">
        <v>306</v>
      </c>
      <c r="BS7" s="1084" t="s">
        <v>2143</v>
      </c>
      <c r="BT7" s="588">
        <v>554</v>
      </c>
    </row>
    <row r="8" spans="1:72" s="278" customFormat="1" ht="13.35" customHeight="1">
      <c r="A8" s="280">
        <v>3</v>
      </c>
      <c r="B8" s="939" t="s">
        <v>2168</v>
      </c>
      <c r="C8" s="859">
        <v>2</v>
      </c>
      <c r="D8" s="859" t="s">
        <v>2169</v>
      </c>
      <c r="E8" s="859" t="s">
        <v>2219</v>
      </c>
      <c r="F8" s="703">
        <v>2.34</v>
      </c>
      <c r="G8" s="859" t="s">
        <v>306</v>
      </c>
      <c r="H8" s="703">
        <v>2.34</v>
      </c>
      <c r="I8" s="703">
        <v>4500</v>
      </c>
      <c r="J8" s="237">
        <v>44</v>
      </c>
      <c r="K8" s="918" t="s">
        <v>2025</v>
      </c>
      <c r="L8" s="918">
        <v>10</v>
      </c>
      <c r="M8" s="918" t="s">
        <v>1360</v>
      </c>
      <c r="N8" s="918" t="s">
        <v>1085</v>
      </c>
      <c r="O8" s="850">
        <v>6.77</v>
      </c>
      <c r="P8" s="918" t="s">
        <v>1470</v>
      </c>
      <c r="Q8" s="850">
        <v>6.96</v>
      </c>
      <c r="R8" s="850">
        <v>2600</v>
      </c>
      <c r="S8" s="237">
        <v>85</v>
      </c>
      <c r="T8" s="859" t="s">
        <v>1992</v>
      </c>
      <c r="U8" s="859">
        <v>15</v>
      </c>
      <c r="V8" s="918" t="s">
        <v>707</v>
      </c>
      <c r="W8" s="918" t="s">
        <v>708</v>
      </c>
      <c r="X8" s="703">
        <v>8.59</v>
      </c>
      <c r="Y8" s="859" t="s">
        <v>306</v>
      </c>
      <c r="Z8" s="850">
        <v>8.59</v>
      </c>
      <c r="AA8" s="703">
        <v>150</v>
      </c>
      <c r="AB8" s="237">
        <v>126</v>
      </c>
      <c r="AC8" s="703" t="s">
        <v>1993</v>
      </c>
      <c r="AD8" s="859">
        <v>15</v>
      </c>
      <c r="AE8" s="859" t="s">
        <v>1097</v>
      </c>
      <c r="AF8" s="859" t="s">
        <v>1098</v>
      </c>
      <c r="AG8" s="703">
        <v>12.379999999999999</v>
      </c>
      <c r="AH8" s="859" t="s">
        <v>306</v>
      </c>
      <c r="AI8" s="703">
        <v>12.379999999999999</v>
      </c>
      <c r="AJ8" s="703">
        <v>200</v>
      </c>
      <c r="AK8" s="237">
        <v>167</v>
      </c>
      <c r="AL8" s="859" t="s">
        <v>2206</v>
      </c>
      <c r="AM8" s="859">
        <v>20</v>
      </c>
      <c r="AN8" s="703" t="s">
        <v>2207</v>
      </c>
      <c r="AO8" s="859" t="s">
        <v>2208</v>
      </c>
      <c r="AP8" s="703">
        <v>13.07</v>
      </c>
      <c r="AQ8" s="859" t="s">
        <v>306</v>
      </c>
      <c r="AR8" s="703">
        <v>13.07</v>
      </c>
      <c r="AS8" s="703">
        <v>125</v>
      </c>
      <c r="AT8" s="237">
        <v>208</v>
      </c>
      <c r="AU8" s="859" t="s">
        <v>2212</v>
      </c>
      <c r="AV8" s="859">
        <v>20</v>
      </c>
      <c r="AW8" s="703" t="s">
        <v>2213</v>
      </c>
      <c r="AX8" s="859" t="s">
        <v>2214</v>
      </c>
      <c r="AY8" s="703">
        <v>12.03</v>
      </c>
      <c r="AZ8" s="859" t="s">
        <v>306</v>
      </c>
      <c r="BA8" s="703">
        <v>12.03</v>
      </c>
      <c r="BB8" s="703">
        <v>250</v>
      </c>
      <c r="BC8" s="249">
        <v>249</v>
      </c>
      <c r="BD8" s="1023" t="s">
        <v>2411</v>
      </c>
      <c r="BE8" s="1023">
        <v>20</v>
      </c>
      <c r="BF8" s="859" t="s">
        <v>2410</v>
      </c>
      <c r="BG8" s="859" t="s">
        <v>2412</v>
      </c>
      <c r="BH8" s="703">
        <v>7.75</v>
      </c>
      <c r="BI8" s="859" t="s">
        <v>2598</v>
      </c>
      <c r="BJ8" s="587">
        <v>8.9</v>
      </c>
      <c r="BK8" s="850">
        <v>4500</v>
      </c>
      <c r="BL8" s="237">
        <v>3</v>
      </c>
      <c r="BM8" s="1081" t="s">
        <v>2147</v>
      </c>
      <c r="BN8" s="1024">
        <v>10</v>
      </c>
      <c r="BO8" s="956" t="s">
        <v>1101</v>
      </c>
      <c r="BP8" s="859" t="s">
        <v>1102</v>
      </c>
      <c r="BQ8" s="703">
        <v>7</v>
      </c>
      <c r="BR8" s="847" t="s">
        <v>306</v>
      </c>
      <c r="BS8" s="587">
        <v>7</v>
      </c>
      <c r="BT8" s="587">
        <v>612.67999999999995</v>
      </c>
    </row>
    <row r="9" spans="1:72" s="278" customFormat="1" ht="13.35" customHeight="1">
      <c r="A9" s="322">
        <v>4</v>
      </c>
      <c r="B9" s="941" t="s">
        <v>2220</v>
      </c>
      <c r="C9" s="886">
        <v>2</v>
      </c>
      <c r="D9" s="886" t="s">
        <v>2221</v>
      </c>
      <c r="E9" s="886" t="s">
        <v>2222</v>
      </c>
      <c r="F9" s="919">
        <v>2.33</v>
      </c>
      <c r="G9" s="886" t="s">
        <v>2401</v>
      </c>
      <c r="H9" s="919">
        <v>4.25</v>
      </c>
      <c r="I9" s="919">
        <v>4500</v>
      </c>
      <c r="J9" s="785">
        <v>45</v>
      </c>
      <c r="K9" s="886" t="s">
        <v>2033</v>
      </c>
      <c r="L9" s="886">
        <v>10</v>
      </c>
      <c r="M9" s="919" t="s">
        <v>1544</v>
      </c>
      <c r="N9" s="919" t="s">
        <v>1545</v>
      </c>
      <c r="O9" s="919">
        <v>7</v>
      </c>
      <c r="P9" s="886" t="s">
        <v>1585</v>
      </c>
      <c r="Q9" s="919">
        <v>7.11</v>
      </c>
      <c r="R9" s="919">
        <v>2800</v>
      </c>
      <c r="S9" s="785">
        <v>86</v>
      </c>
      <c r="T9" s="886" t="s">
        <v>2003</v>
      </c>
      <c r="U9" s="886">
        <v>15</v>
      </c>
      <c r="V9" s="886" t="s">
        <v>709</v>
      </c>
      <c r="W9" s="886" t="s">
        <v>710</v>
      </c>
      <c r="X9" s="919">
        <v>8.8000000000000007</v>
      </c>
      <c r="Y9" s="886" t="s">
        <v>306</v>
      </c>
      <c r="Z9" s="919">
        <v>8.8000000000000007</v>
      </c>
      <c r="AA9" s="919">
        <v>131.25</v>
      </c>
      <c r="AB9" s="785">
        <v>127</v>
      </c>
      <c r="AC9" s="919" t="s">
        <v>2004</v>
      </c>
      <c r="AD9" s="886">
        <v>15</v>
      </c>
      <c r="AE9" s="886" t="s">
        <v>1099</v>
      </c>
      <c r="AF9" s="886" t="s">
        <v>1100</v>
      </c>
      <c r="AG9" s="919">
        <v>12.4</v>
      </c>
      <c r="AH9" s="886" t="s">
        <v>306</v>
      </c>
      <c r="AI9" s="919">
        <v>12.4</v>
      </c>
      <c r="AJ9" s="919">
        <v>200</v>
      </c>
      <c r="AK9" s="785">
        <v>168</v>
      </c>
      <c r="AL9" s="886" t="s">
        <v>1977</v>
      </c>
      <c r="AM9" s="886">
        <v>20</v>
      </c>
      <c r="AN9" s="886" t="s">
        <v>36</v>
      </c>
      <c r="AO9" s="886" t="s">
        <v>1384</v>
      </c>
      <c r="AP9" s="919">
        <v>13.07</v>
      </c>
      <c r="AQ9" s="886" t="s">
        <v>306</v>
      </c>
      <c r="AR9" s="919">
        <v>13.07</v>
      </c>
      <c r="AS9" s="919">
        <v>125</v>
      </c>
      <c r="AT9" s="785">
        <v>209</v>
      </c>
      <c r="AU9" s="886" t="s">
        <v>1978</v>
      </c>
      <c r="AV9" s="886">
        <v>20</v>
      </c>
      <c r="AW9" s="886" t="s">
        <v>1979</v>
      </c>
      <c r="AX9" s="886" t="s">
        <v>1980</v>
      </c>
      <c r="AY9" s="919">
        <v>12.07</v>
      </c>
      <c r="AZ9" s="886" t="s">
        <v>306</v>
      </c>
      <c r="BA9" s="919">
        <v>12.07</v>
      </c>
      <c r="BB9" s="919">
        <v>325</v>
      </c>
      <c r="BC9" s="542">
        <v>250</v>
      </c>
      <c r="BD9" s="1007" t="s">
        <v>2474</v>
      </c>
      <c r="BE9" s="1007">
        <v>20</v>
      </c>
      <c r="BF9" s="886" t="s">
        <v>2475</v>
      </c>
      <c r="BG9" s="886" t="s">
        <v>2476</v>
      </c>
      <c r="BH9" s="919">
        <v>8.65</v>
      </c>
      <c r="BI9" s="886" t="s">
        <v>2577</v>
      </c>
      <c r="BJ9" s="588">
        <v>8.5500000000000007</v>
      </c>
      <c r="BK9" s="782">
        <v>4413.03</v>
      </c>
      <c r="BL9" s="785">
        <v>4</v>
      </c>
      <c r="BM9" s="1082" t="s">
        <v>2149</v>
      </c>
      <c r="BN9" s="1025">
        <v>10</v>
      </c>
      <c r="BO9" s="955" t="s">
        <v>1101</v>
      </c>
      <c r="BP9" s="886" t="s">
        <v>1102</v>
      </c>
      <c r="BQ9" s="919">
        <v>7</v>
      </c>
      <c r="BR9" s="904" t="s">
        <v>306</v>
      </c>
      <c r="BS9" s="588">
        <v>7</v>
      </c>
      <c r="BT9" s="588">
        <v>501.43</v>
      </c>
    </row>
    <row r="10" spans="1:72" s="278" customFormat="1" ht="13.35" customHeight="1">
      <c r="A10" s="237">
        <v>5</v>
      </c>
      <c r="B10" s="939" t="s">
        <v>2295</v>
      </c>
      <c r="C10" s="859">
        <v>2</v>
      </c>
      <c r="D10" s="859" t="s">
        <v>2296</v>
      </c>
      <c r="E10" s="859" t="s">
        <v>2297</v>
      </c>
      <c r="F10" s="703">
        <v>4.8</v>
      </c>
      <c r="G10" s="859" t="s">
        <v>2304</v>
      </c>
      <c r="H10" s="703">
        <v>4.71</v>
      </c>
      <c r="I10" s="703">
        <v>4500</v>
      </c>
      <c r="J10" s="237">
        <v>46</v>
      </c>
      <c r="K10" s="859" t="s">
        <v>2041</v>
      </c>
      <c r="L10" s="859">
        <v>10</v>
      </c>
      <c r="M10" s="703" t="s">
        <v>1591</v>
      </c>
      <c r="N10" s="703" t="s">
        <v>1592</v>
      </c>
      <c r="O10" s="703">
        <v>7.5</v>
      </c>
      <c r="P10" s="859" t="s">
        <v>1682</v>
      </c>
      <c r="Q10" s="703">
        <v>7.6</v>
      </c>
      <c r="R10" s="703">
        <v>2800</v>
      </c>
      <c r="S10" s="237">
        <v>87</v>
      </c>
      <c r="T10" s="859" t="s">
        <v>2011</v>
      </c>
      <c r="U10" s="859">
        <v>15</v>
      </c>
      <c r="V10" s="859" t="s">
        <v>368</v>
      </c>
      <c r="W10" s="859" t="s">
        <v>369</v>
      </c>
      <c r="X10" s="703">
        <v>8.69</v>
      </c>
      <c r="Y10" s="859" t="s">
        <v>306</v>
      </c>
      <c r="Z10" s="703">
        <v>8.69</v>
      </c>
      <c r="AA10" s="703">
        <v>150</v>
      </c>
      <c r="AB10" s="237">
        <v>128</v>
      </c>
      <c r="AC10" s="850" t="s">
        <v>2012</v>
      </c>
      <c r="AD10" s="918">
        <v>15</v>
      </c>
      <c r="AE10" s="918" t="s">
        <v>1816</v>
      </c>
      <c r="AF10" s="918" t="s">
        <v>2013</v>
      </c>
      <c r="AG10" s="850">
        <v>12.4</v>
      </c>
      <c r="AH10" s="859" t="s">
        <v>306</v>
      </c>
      <c r="AI10" s="850">
        <v>12.4</v>
      </c>
      <c r="AJ10" s="850">
        <v>150</v>
      </c>
      <c r="AK10" s="237">
        <v>169</v>
      </c>
      <c r="AL10" s="918" t="s">
        <v>1984</v>
      </c>
      <c r="AM10" s="918">
        <v>20</v>
      </c>
      <c r="AN10" s="918" t="s">
        <v>37</v>
      </c>
      <c r="AO10" s="918" t="s">
        <v>48</v>
      </c>
      <c r="AP10" s="850">
        <v>13.07</v>
      </c>
      <c r="AQ10" s="859" t="s">
        <v>306</v>
      </c>
      <c r="AR10" s="850">
        <v>13.07</v>
      </c>
      <c r="AS10" s="850">
        <v>125</v>
      </c>
      <c r="AT10" s="237">
        <v>210</v>
      </c>
      <c r="AU10" s="918" t="s">
        <v>1985</v>
      </c>
      <c r="AV10" s="918">
        <v>20</v>
      </c>
      <c r="AW10" s="850" t="s">
        <v>1986</v>
      </c>
      <c r="AX10" s="918" t="s">
        <v>1987</v>
      </c>
      <c r="AY10" s="850">
        <v>12.1</v>
      </c>
      <c r="AZ10" s="859" t="s">
        <v>306</v>
      </c>
      <c r="BA10" s="850">
        <v>12.1</v>
      </c>
      <c r="BB10" s="850">
        <v>325</v>
      </c>
      <c r="BC10" s="2193" t="s">
        <v>2265</v>
      </c>
      <c r="BD10" s="2193"/>
      <c r="BE10" s="2193"/>
      <c r="BF10" s="2193"/>
      <c r="BG10" s="2193"/>
      <c r="BH10" s="850"/>
      <c r="BI10" s="859"/>
      <c r="BJ10" s="587"/>
      <c r="BK10" s="850"/>
      <c r="BL10" s="237">
        <v>5</v>
      </c>
      <c r="BM10" s="1081" t="s">
        <v>2148</v>
      </c>
      <c r="BN10" s="1024">
        <v>10</v>
      </c>
      <c r="BO10" s="956" t="s">
        <v>1101</v>
      </c>
      <c r="BP10" s="859" t="s">
        <v>1102</v>
      </c>
      <c r="BQ10" s="703">
        <v>7</v>
      </c>
      <c r="BR10" s="847" t="s">
        <v>306</v>
      </c>
      <c r="BS10" s="587">
        <v>7</v>
      </c>
      <c r="BT10" s="587">
        <v>821.01</v>
      </c>
    </row>
    <row r="11" spans="1:72" s="278" customFormat="1" ht="13.35" customHeight="1">
      <c r="A11" s="785">
        <v>6</v>
      </c>
      <c r="B11" s="904" t="s">
        <v>2404</v>
      </c>
      <c r="C11" s="935">
        <v>2</v>
      </c>
      <c r="D11" s="935" t="s">
        <v>2405</v>
      </c>
      <c r="E11" s="904" t="s">
        <v>2406</v>
      </c>
      <c r="F11" s="588">
        <v>4.75</v>
      </c>
      <c r="G11" s="904" t="s">
        <v>2440</v>
      </c>
      <c r="H11" s="588">
        <v>6.14</v>
      </c>
      <c r="I11" s="588">
        <v>4000</v>
      </c>
      <c r="J11" s="785">
        <v>47</v>
      </c>
      <c r="K11" s="886" t="s">
        <v>2048</v>
      </c>
      <c r="L11" s="886">
        <v>10</v>
      </c>
      <c r="M11" s="919" t="s">
        <v>1673</v>
      </c>
      <c r="N11" s="919" t="s">
        <v>1674</v>
      </c>
      <c r="O11" s="919">
        <v>7.15</v>
      </c>
      <c r="P11" s="886" t="s">
        <v>1697</v>
      </c>
      <c r="Q11" s="919">
        <v>8.89</v>
      </c>
      <c r="R11" s="919">
        <v>3000</v>
      </c>
      <c r="S11" s="785">
        <v>88</v>
      </c>
      <c r="T11" s="886" t="s">
        <v>2019</v>
      </c>
      <c r="U11" s="886">
        <v>15</v>
      </c>
      <c r="V11" s="886" t="s">
        <v>370</v>
      </c>
      <c r="W11" s="886" t="s">
        <v>371</v>
      </c>
      <c r="X11" s="919">
        <v>8.69</v>
      </c>
      <c r="Y11" s="886" t="s">
        <v>306</v>
      </c>
      <c r="Z11" s="919">
        <v>8.69</v>
      </c>
      <c r="AA11" s="919">
        <v>150</v>
      </c>
      <c r="AB11" s="785">
        <v>129</v>
      </c>
      <c r="AC11" s="886" t="s">
        <v>2020</v>
      </c>
      <c r="AD11" s="886">
        <v>15</v>
      </c>
      <c r="AE11" s="886" t="s">
        <v>1823</v>
      </c>
      <c r="AF11" s="886" t="s">
        <v>2021</v>
      </c>
      <c r="AG11" s="919">
        <v>12.4</v>
      </c>
      <c r="AH11" s="886" t="s">
        <v>306</v>
      </c>
      <c r="AI11" s="919">
        <v>12.4</v>
      </c>
      <c r="AJ11" s="782">
        <v>150</v>
      </c>
      <c r="AK11" s="785">
        <v>170</v>
      </c>
      <c r="AL11" s="886" t="s">
        <v>1994</v>
      </c>
      <c r="AM11" s="886">
        <v>20</v>
      </c>
      <c r="AN11" s="919" t="s">
        <v>38</v>
      </c>
      <c r="AO11" s="886" t="s">
        <v>49</v>
      </c>
      <c r="AP11" s="919">
        <v>13.04</v>
      </c>
      <c r="AQ11" s="886" t="s">
        <v>306</v>
      </c>
      <c r="AR11" s="919">
        <v>13.04</v>
      </c>
      <c r="AS11" s="782">
        <v>125</v>
      </c>
      <c r="AT11" s="785">
        <v>211</v>
      </c>
      <c r="AU11" s="886" t="s">
        <v>1995</v>
      </c>
      <c r="AV11" s="886">
        <v>20</v>
      </c>
      <c r="AW11" s="886" t="s">
        <v>1996</v>
      </c>
      <c r="AX11" s="886" t="s">
        <v>1997</v>
      </c>
      <c r="AY11" s="919">
        <v>12.12</v>
      </c>
      <c r="AZ11" s="886" t="s">
        <v>306</v>
      </c>
      <c r="BA11" s="919">
        <v>12.12</v>
      </c>
      <c r="BB11" s="919">
        <v>341</v>
      </c>
      <c r="BC11" s="886">
        <v>1</v>
      </c>
      <c r="BD11" s="955" t="s">
        <v>2266</v>
      </c>
      <c r="BE11" s="1025">
        <v>5</v>
      </c>
      <c r="BF11" s="1704" t="s">
        <v>2288</v>
      </c>
      <c r="BG11" s="886" t="s">
        <v>2289</v>
      </c>
      <c r="BH11" s="886">
        <v>4.6900000000000004</v>
      </c>
      <c r="BI11" s="935" t="s">
        <v>2290</v>
      </c>
      <c r="BJ11" s="935">
        <v>4.6900000000000004</v>
      </c>
      <c r="BK11" s="782">
        <v>8000</v>
      </c>
      <c r="BL11" s="785">
        <v>6</v>
      </c>
      <c r="BM11" s="1082" t="s">
        <v>2150</v>
      </c>
      <c r="BN11" s="1025">
        <v>13</v>
      </c>
      <c r="BO11" s="955" t="s">
        <v>1034</v>
      </c>
      <c r="BP11" s="886" t="s">
        <v>1040</v>
      </c>
      <c r="BQ11" s="919">
        <v>5</v>
      </c>
      <c r="BR11" s="904" t="s">
        <v>306</v>
      </c>
      <c r="BS11" s="588">
        <v>5</v>
      </c>
      <c r="BT11" s="588">
        <v>214.17</v>
      </c>
    </row>
    <row r="12" spans="1:72" s="278" customFormat="1" ht="13.35" customHeight="1">
      <c r="A12" s="280">
        <v>7</v>
      </c>
      <c r="B12" s="847" t="s">
        <v>2469</v>
      </c>
      <c r="C12" s="847">
        <v>2</v>
      </c>
      <c r="D12" s="918" t="s">
        <v>2467</v>
      </c>
      <c r="E12" s="847" t="s">
        <v>2468</v>
      </c>
      <c r="F12" s="587">
        <v>7.21</v>
      </c>
      <c r="G12" s="847" t="s">
        <v>2554</v>
      </c>
      <c r="H12" s="587">
        <v>7.5</v>
      </c>
      <c r="I12" s="587">
        <v>4500</v>
      </c>
      <c r="J12" s="237">
        <v>48</v>
      </c>
      <c r="K12" s="859" t="s">
        <v>2055</v>
      </c>
      <c r="L12" s="859">
        <v>10</v>
      </c>
      <c r="M12" s="703" t="s">
        <v>1683</v>
      </c>
      <c r="N12" s="703" t="s">
        <v>1684</v>
      </c>
      <c r="O12" s="703">
        <v>7.74</v>
      </c>
      <c r="P12" s="859" t="s">
        <v>1703</v>
      </c>
      <c r="Q12" s="703">
        <v>9.0500000000000007</v>
      </c>
      <c r="R12" s="703">
        <v>2675</v>
      </c>
      <c r="S12" s="237">
        <v>89</v>
      </c>
      <c r="T12" s="859" t="s">
        <v>2026</v>
      </c>
      <c r="U12" s="859">
        <v>15</v>
      </c>
      <c r="V12" s="859" t="s">
        <v>372</v>
      </c>
      <c r="W12" s="859" t="s">
        <v>373</v>
      </c>
      <c r="X12" s="703">
        <v>8.74</v>
      </c>
      <c r="Y12" s="859" t="s">
        <v>306</v>
      </c>
      <c r="Z12" s="703">
        <v>8.74</v>
      </c>
      <c r="AA12" s="703">
        <v>100</v>
      </c>
      <c r="AB12" s="237">
        <v>130</v>
      </c>
      <c r="AC12" s="703" t="s">
        <v>2027</v>
      </c>
      <c r="AD12" s="859">
        <v>15</v>
      </c>
      <c r="AE12" s="859" t="s">
        <v>1833</v>
      </c>
      <c r="AF12" s="859" t="s">
        <v>2028</v>
      </c>
      <c r="AG12" s="703">
        <v>12.42</v>
      </c>
      <c r="AH12" s="859" t="s">
        <v>306</v>
      </c>
      <c r="AI12" s="703">
        <v>12.42</v>
      </c>
      <c r="AJ12" s="850">
        <v>150</v>
      </c>
      <c r="AK12" s="237">
        <v>171</v>
      </c>
      <c r="AL12" s="859" t="s">
        <v>2005</v>
      </c>
      <c r="AM12" s="859">
        <v>20</v>
      </c>
      <c r="AN12" s="703" t="s">
        <v>39</v>
      </c>
      <c r="AO12" s="859" t="s">
        <v>50</v>
      </c>
      <c r="AP12" s="703">
        <v>13.04</v>
      </c>
      <c r="AQ12" s="859" t="s">
        <v>306</v>
      </c>
      <c r="AR12" s="703">
        <v>13.04</v>
      </c>
      <c r="AS12" s="850">
        <v>125</v>
      </c>
      <c r="AT12" s="237">
        <v>212</v>
      </c>
      <c r="AU12" s="859" t="s">
        <v>2006</v>
      </c>
      <c r="AV12" s="859">
        <v>20</v>
      </c>
      <c r="AW12" s="859" t="s">
        <v>2007</v>
      </c>
      <c r="AX12" s="859" t="s">
        <v>2008</v>
      </c>
      <c r="AY12" s="703">
        <v>12.12</v>
      </c>
      <c r="AZ12" s="859" t="s">
        <v>306</v>
      </c>
      <c r="BA12" s="703">
        <v>12.12</v>
      </c>
      <c r="BB12" s="703">
        <v>300</v>
      </c>
      <c r="BC12" s="280">
        <v>2</v>
      </c>
      <c r="BD12" s="847" t="s">
        <v>2383</v>
      </c>
      <c r="BE12" s="847">
        <v>5</v>
      </c>
      <c r="BF12" s="859" t="s">
        <v>2384</v>
      </c>
      <c r="BG12" s="859" t="s">
        <v>2385</v>
      </c>
      <c r="BH12" s="703">
        <v>4.6500000000000004</v>
      </c>
      <c r="BI12" s="859" t="s">
        <v>306</v>
      </c>
      <c r="BJ12" s="587" t="s">
        <v>306</v>
      </c>
      <c r="BK12" s="850">
        <v>5000</v>
      </c>
      <c r="BL12" s="237">
        <v>7</v>
      </c>
      <c r="BM12" s="278" t="s">
        <v>2151</v>
      </c>
      <c r="BN12" s="847">
        <v>13</v>
      </c>
      <c r="BO12" s="847" t="s">
        <v>1034</v>
      </c>
      <c r="BP12" s="847" t="s">
        <v>1040</v>
      </c>
      <c r="BQ12" s="587">
        <v>5</v>
      </c>
      <c r="BR12" s="847" t="s">
        <v>306</v>
      </c>
      <c r="BS12" s="587">
        <v>5</v>
      </c>
      <c r="BT12" s="847">
        <v>298.68</v>
      </c>
    </row>
    <row r="13" spans="1:72" s="278" customFormat="1" ht="13.35" customHeight="1" thickBot="1">
      <c r="A13" s="322">
        <v>8</v>
      </c>
      <c r="B13" s="904" t="s">
        <v>2483</v>
      </c>
      <c r="C13" s="904">
        <v>2</v>
      </c>
      <c r="D13" s="935" t="s">
        <v>2484</v>
      </c>
      <c r="E13" s="904" t="s">
        <v>2485</v>
      </c>
      <c r="F13" s="588">
        <v>7.4</v>
      </c>
      <c r="G13" s="588" t="s">
        <v>2573</v>
      </c>
      <c r="H13" s="588">
        <v>7.5</v>
      </c>
      <c r="I13" s="588">
        <v>4000</v>
      </c>
      <c r="J13" s="785">
        <v>49</v>
      </c>
      <c r="K13" s="886" t="s">
        <v>2062</v>
      </c>
      <c r="L13" s="886">
        <v>10</v>
      </c>
      <c r="M13" s="886" t="s">
        <v>1691</v>
      </c>
      <c r="N13" s="886" t="s">
        <v>1692</v>
      </c>
      <c r="O13" s="919">
        <v>8.44</v>
      </c>
      <c r="P13" s="886" t="s">
        <v>1697</v>
      </c>
      <c r="Q13" s="919">
        <v>8.89</v>
      </c>
      <c r="R13" s="919">
        <v>3000</v>
      </c>
      <c r="S13" s="785">
        <v>90</v>
      </c>
      <c r="T13" s="886" t="s">
        <v>2034</v>
      </c>
      <c r="U13" s="886">
        <v>15</v>
      </c>
      <c r="V13" s="886" t="s">
        <v>374</v>
      </c>
      <c r="W13" s="886" t="s">
        <v>375</v>
      </c>
      <c r="X13" s="919">
        <v>8.74</v>
      </c>
      <c r="Y13" s="886" t="s">
        <v>306</v>
      </c>
      <c r="Z13" s="919">
        <v>8.74</v>
      </c>
      <c r="AA13" s="919">
        <v>100</v>
      </c>
      <c r="AB13" s="785">
        <v>131</v>
      </c>
      <c r="AC13" s="919" t="s">
        <v>2035</v>
      </c>
      <c r="AD13" s="886">
        <v>15</v>
      </c>
      <c r="AE13" s="886" t="s">
        <v>1839</v>
      </c>
      <c r="AF13" s="886" t="s">
        <v>2036</v>
      </c>
      <c r="AG13" s="919">
        <v>12.42</v>
      </c>
      <c r="AH13" s="886" t="s">
        <v>306</v>
      </c>
      <c r="AI13" s="919">
        <v>12.42</v>
      </c>
      <c r="AJ13" s="919">
        <v>150</v>
      </c>
      <c r="AK13" s="785">
        <v>172</v>
      </c>
      <c r="AL13" s="886" t="s">
        <v>2014</v>
      </c>
      <c r="AM13" s="886">
        <v>20</v>
      </c>
      <c r="AN13" s="919" t="s">
        <v>40</v>
      </c>
      <c r="AO13" s="886" t="s">
        <v>51</v>
      </c>
      <c r="AP13" s="919">
        <v>13.019999999999998</v>
      </c>
      <c r="AQ13" s="886" t="s">
        <v>306</v>
      </c>
      <c r="AR13" s="919">
        <v>13.019999999999998</v>
      </c>
      <c r="AS13" s="782">
        <v>125</v>
      </c>
      <c r="AT13" s="785">
        <v>213</v>
      </c>
      <c r="AU13" s="886" t="s">
        <v>2015</v>
      </c>
      <c r="AV13" s="886">
        <v>20</v>
      </c>
      <c r="AW13" s="919" t="s">
        <v>2016</v>
      </c>
      <c r="AX13" s="886" t="s">
        <v>2017</v>
      </c>
      <c r="AY13" s="919">
        <v>12.16</v>
      </c>
      <c r="AZ13" s="886" t="s">
        <v>306</v>
      </c>
      <c r="BA13" s="919">
        <v>12.16</v>
      </c>
      <c r="BB13" s="919">
        <v>300</v>
      </c>
      <c r="BC13" s="873">
        <v>3</v>
      </c>
      <c r="BD13" s="1037" t="s">
        <v>2456</v>
      </c>
      <c r="BE13" s="1037">
        <v>5</v>
      </c>
      <c r="BF13" s="1037" t="s">
        <v>2432</v>
      </c>
      <c r="BG13" s="1037" t="s">
        <v>2438</v>
      </c>
      <c r="BH13" s="1037">
        <v>4.75</v>
      </c>
      <c r="BI13" s="1037" t="s">
        <v>306</v>
      </c>
      <c r="BJ13" s="1037" t="s">
        <v>306</v>
      </c>
      <c r="BK13" s="1678">
        <v>5000</v>
      </c>
      <c r="BL13" s="677">
        <v>8</v>
      </c>
      <c r="BM13" s="962" t="s">
        <v>2152</v>
      </c>
      <c r="BN13" s="1037">
        <v>13</v>
      </c>
      <c r="BO13" s="1037" t="s">
        <v>1034</v>
      </c>
      <c r="BP13" s="1037" t="s">
        <v>1040</v>
      </c>
      <c r="BQ13" s="1678">
        <v>5</v>
      </c>
      <c r="BR13" s="1037" t="s">
        <v>306</v>
      </c>
      <c r="BS13" s="1678">
        <v>5</v>
      </c>
      <c r="BT13" s="1037">
        <v>203.95</v>
      </c>
    </row>
    <row r="14" spans="1:72" s="278" customFormat="1" ht="13.35" customHeight="1">
      <c r="A14" s="280">
        <v>9</v>
      </c>
      <c r="B14" s="847" t="s">
        <v>2594</v>
      </c>
      <c r="C14" s="847">
        <v>2</v>
      </c>
      <c r="D14" s="918" t="s">
        <v>2595</v>
      </c>
      <c r="E14" s="847" t="s">
        <v>2596</v>
      </c>
      <c r="F14" s="847">
        <v>7.45</v>
      </c>
      <c r="G14" s="847" t="s">
        <v>2650</v>
      </c>
      <c r="H14" s="587">
        <v>7.5</v>
      </c>
      <c r="I14" s="587">
        <v>2800</v>
      </c>
      <c r="J14" s="237">
        <v>50</v>
      </c>
      <c r="K14" s="859" t="s">
        <v>2069</v>
      </c>
      <c r="L14" s="859">
        <v>10</v>
      </c>
      <c r="M14" s="703" t="s">
        <v>1699</v>
      </c>
      <c r="N14" s="703" t="s">
        <v>1700</v>
      </c>
      <c r="O14" s="703">
        <v>9.27</v>
      </c>
      <c r="P14" s="859" t="s">
        <v>1708</v>
      </c>
      <c r="Q14" s="703">
        <v>9.19</v>
      </c>
      <c r="R14" s="703">
        <v>4000</v>
      </c>
      <c r="S14" s="237">
        <v>91</v>
      </c>
      <c r="T14" s="859" t="s">
        <v>2042</v>
      </c>
      <c r="U14" s="859">
        <v>15</v>
      </c>
      <c r="V14" s="939" t="s">
        <v>376</v>
      </c>
      <c r="W14" s="939" t="s">
        <v>377</v>
      </c>
      <c r="X14" s="703">
        <v>8.75</v>
      </c>
      <c r="Y14" s="859" t="s">
        <v>306</v>
      </c>
      <c r="Z14" s="850">
        <v>8.75</v>
      </c>
      <c r="AA14" s="703">
        <v>100</v>
      </c>
      <c r="AB14" s="237">
        <v>132</v>
      </c>
      <c r="AC14" s="859" t="s">
        <v>2043</v>
      </c>
      <c r="AD14" s="859">
        <v>15</v>
      </c>
      <c r="AE14" s="859" t="s">
        <v>1847</v>
      </c>
      <c r="AF14" s="859" t="s">
        <v>2126</v>
      </c>
      <c r="AG14" s="703">
        <v>12.29</v>
      </c>
      <c r="AH14" s="859" t="s">
        <v>306</v>
      </c>
      <c r="AI14" s="703">
        <v>12.29</v>
      </c>
      <c r="AJ14" s="703">
        <v>150</v>
      </c>
      <c r="AK14" s="237">
        <v>173</v>
      </c>
      <c r="AL14" s="859" t="s">
        <v>2022</v>
      </c>
      <c r="AM14" s="859">
        <v>20</v>
      </c>
      <c r="AN14" s="703" t="s">
        <v>1</v>
      </c>
      <c r="AO14" s="859" t="s">
        <v>42</v>
      </c>
      <c r="AP14" s="703">
        <v>13</v>
      </c>
      <c r="AQ14" s="859" t="s">
        <v>306</v>
      </c>
      <c r="AR14" s="703">
        <v>13</v>
      </c>
      <c r="AS14" s="850">
        <v>125</v>
      </c>
      <c r="AT14" s="237">
        <v>214</v>
      </c>
      <c r="AU14" s="859" t="s">
        <v>2023</v>
      </c>
      <c r="AV14" s="859">
        <v>20</v>
      </c>
      <c r="AW14" s="859" t="s">
        <v>2024</v>
      </c>
      <c r="AX14" s="859" t="s">
        <v>1508</v>
      </c>
      <c r="AY14" s="703">
        <v>12.16</v>
      </c>
      <c r="AZ14" s="859" t="s">
        <v>306</v>
      </c>
      <c r="BA14" s="703">
        <v>12.16</v>
      </c>
      <c r="BB14" s="703">
        <v>300</v>
      </c>
      <c r="BC14" s="398" t="s">
        <v>1250</v>
      </c>
      <c r="BD14" s="1214" t="s">
        <v>2647</v>
      </c>
      <c r="BE14" s="1214"/>
      <c r="BF14" s="1214"/>
      <c r="BG14" s="847"/>
      <c r="BH14" s="859"/>
      <c r="BI14" s="587"/>
      <c r="BJ14" s="850"/>
      <c r="BL14" s="237"/>
      <c r="BM14" s="278" t="s">
        <v>2648</v>
      </c>
      <c r="BN14" s="601"/>
      <c r="BO14" s="8"/>
      <c r="BP14" s="8"/>
      <c r="BQ14" s="8"/>
      <c r="BR14" s="1214"/>
    </row>
    <row r="15" spans="1:72" s="278" customFormat="1" ht="13.35" customHeight="1">
      <c r="A15" s="904">
        <v>10</v>
      </c>
      <c r="B15" s="904" t="s">
        <v>2184</v>
      </c>
      <c r="C15" s="904">
        <v>5</v>
      </c>
      <c r="D15" s="935" t="s">
        <v>2185</v>
      </c>
      <c r="E15" s="904" t="s">
        <v>2186</v>
      </c>
      <c r="F15" s="904">
        <v>5.74</v>
      </c>
      <c r="G15" s="904" t="s">
        <v>306</v>
      </c>
      <c r="H15" s="904">
        <v>5.74</v>
      </c>
      <c r="I15" s="588">
        <v>2900</v>
      </c>
      <c r="J15" s="785">
        <v>51</v>
      </c>
      <c r="K15" s="886" t="s">
        <v>1794</v>
      </c>
      <c r="L15" s="886">
        <v>10</v>
      </c>
      <c r="M15" s="919" t="s">
        <v>1709</v>
      </c>
      <c r="N15" s="919" t="s">
        <v>1710</v>
      </c>
      <c r="O15" s="919">
        <v>9.23</v>
      </c>
      <c r="P15" s="886" t="s">
        <v>1795</v>
      </c>
      <c r="Q15" s="919">
        <v>8.64</v>
      </c>
      <c r="R15" s="919">
        <v>4000</v>
      </c>
      <c r="S15" s="785">
        <v>92</v>
      </c>
      <c r="T15" s="886" t="s">
        <v>2049</v>
      </c>
      <c r="U15" s="886">
        <v>15</v>
      </c>
      <c r="V15" s="886" t="s">
        <v>721</v>
      </c>
      <c r="W15" s="886" t="s">
        <v>722</v>
      </c>
      <c r="X15" s="919">
        <v>8.77</v>
      </c>
      <c r="Y15" s="886" t="s">
        <v>306</v>
      </c>
      <c r="Z15" s="919">
        <v>8.77</v>
      </c>
      <c r="AA15" s="919">
        <v>80</v>
      </c>
      <c r="AB15" s="785">
        <v>133</v>
      </c>
      <c r="AC15" s="886" t="s">
        <v>2050</v>
      </c>
      <c r="AD15" s="886">
        <v>15</v>
      </c>
      <c r="AE15" s="886" t="s">
        <v>1129</v>
      </c>
      <c r="AF15" s="886" t="s">
        <v>1130</v>
      </c>
      <c r="AG15" s="919">
        <v>12.29</v>
      </c>
      <c r="AH15" s="886" t="s">
        <v>306</v>
      </c>
      <c r="AI15" s="919">
        <v>12.29</v>
      </c>
      <c r="AJ15" s="919">
        <v>150</v>
      </c>
      <c r="AK15" s="785">
        <v>174</v>
      </c>
      <c r="AL15" s="886" t="s">
        <v>2029</v>
      </c>
      <c r="AM15" s="886">
        <v>20</v>
      </c>
      <c r="AN15" s="886" t="s">
        <v>2</v>
      </c>
      <c r="AO15" s="886" t="s">
        <v>3</v>
      </c>
      <c r="AP15" s="919">
        <v>12.990000000000002</v>
      </c>
      <c r="AQ15" s="886" t="s">
        <v>306</v>
      </c>
      <c r="AR15" s="919">
        <v>12.990000000000002</v>
      </c>
      <c r="AS15" s="782">
        <v>125</v>
      </c>
      <c r="AT15" s="785">
        <v>215</v>
      </c>
      <c r="AU15" s="886" t="s">
        <v>2030</v>
      </c>
      <c r="AV15" s="886">
        <v>20</v>
      </c>
      <c r="AW15" s="886" t="s">
        <v>2031</v>
      </c>
      <c r="AX15" s="886" t="s">
        <v>2032</v>
      </c>
      <c r="AY15" s="919">
        <v>12.16</v>
      </c>
      <c r="AZ15" s="886" t="s">
        <v>306</v>
      </c>
      <c r="BA15" s="919">
        <v>12.16</v>
      </c>
      <c r="BB15" s="919">
        <v>100</v>
      </c>
      <c r="BC15" s="1259" t="s">
        <v>274</v>
      </c>
      <c r="BD15" s="1260" t="s">
        <v>2303</v>
      </c>
      <c r="BE15" s="1214"/>
      <c r="BF15" s="1214"/>
      <c r="BG15" s="847"/>
      <c r="BH15" s="859"/>
      <c r="BK15" s="9" t="s">
        <v>2388</v>
      </c>
      <c r="BL15" s="237"/>
      <c r="BM15" s="302" t="s">
        <v>2291</v>
      </c>
      <c r="BN15" s="302"/>
      <c r="BO15" s="302"/>
      <c r="BP15" s="302"/>
      <c r="BQ15" s="278" t="s">
        <v>2388</v>
      </c>
      <c r="BR15" s="302"/>
    </row>
    <row r="16" spans="1:72" s="278" customFormat="1" ht="13.35" customHeight="1">
      <c r="A16" s="280">
        <v>11</v>
      </c>
      <c r="B16" s="939" t="s">
        <v>2256</v>
      </c>
      <c r="C16" s="859">
        <v>5</v>
      </c>
      <c r="D16" s="859" t="s">
        <v>2232</v>
      </c>
      <c r="E16" s="703" t="s">
        <v>2187</v>
      </c>
      <c r="F16" s="703">
        <v>4.5</v>
      </c>
      <c r="G16" s="859" t="s">
        <v>306</v>
      </c>
      <c r="H16" s="703">
        <v>4.5</v>
      </c>
      <c r="I16" s="703">
        <v>3000</v>
      </c>
      <c r="J16" s="237">
        <v>52</v>
      </c>
      <c r="K16" s="859" t="s">
        <v>1802</v>
      </c>
      <c r="L16" s="859">
        <v>10</v>
      </c>
      <c r="M16" s="703" t="s">
        <v>1719</v>
      </c>
      <c r="N16" s="703" t="s">
        <v>1720</v>
      </c>
      <c r="O16" s="703">
        <v>9.15</v>
      </c>
      <c r="P16" s="859" t="s">
        <v>2086</v>
      </c>
      <c r="Q16" s="703">
        <v>6.64</v>
      </c>
      <c r="R16" s="703">
        <v>4000</v>
      </c>
      <c r="S16" s="237">
        <v>93</v>
      </c>
      <c r="T16" s="859" t="s">
        <v>2056</v>
      </c>
      <c r="U16" s="859">
        <v>15</v>
      </c>
      <c r="V16" s="859" t="s">
        <v>723</v>
      </c>
      <c r="W16" s="859" t="s">
        <v>724</v>
      </c>
      <c r="X16" s="703">
        <v>8.8000000000000007</v>
      </c>
      <c r="Y16" s="859" t="s">
        <v>306</v>
      </c>
      <c r="Z16" s="703">
        <v>8.8000000000000007</v>
      </c>
      <c r="AA16" s="703">
        <v>75</v>
      </c>
      <c r="AB16" s="237">
        <v>134</v>
      </c>
      <c r="AC16" s="859" t="s">
        <v>2057</v>
      </c>
      <c r="AD16" s="859">
        <v>15</v>
      </c>
      <c r="AE16" s="859" t="s">
        <v>1133</v>
      </c>
      <c r="AF16" s="859" t="s">
        <v>1135</v>
      </c>
      <c r="AG16" s="703">
        <v>12.2</v>
      </c>
      <c r="AH16" s="859" t="s">
        <v>306</v>
      </c>
      <c r="AI16" s="703">
        <v>12.2</v>
      </c>
      <c r="AJ16" s="703">
        <v>150</v>
      </c>
      <c r="AK16" s="255">
        <v>175</v>
      </c>
      <c r="AL16" s="859" t="s">
        <v>2037</v>
      </c>
      <c r="AM16" s="859">
        <v>20</v>
      </c>
      <c r="AN16" s="859" t="s">
        <v>4</v>
      </c>
      <c r="AO16" s="859" t="s">
        <v>5</v>
      </c>
      <c r="AP16" s="703">
        <v>12.98</v>
      </c>
      <c r="AQ16" s="859" t="s">
        <v>306</v>
      </c>
      <c r="AR16" s="703">
        <v>12.98</v>
      </c>
      <c r="AS16" s="850">
        <v>150</v>
      </c>
      <c r="AT16" s="237">
        <v>216</v>
      </c>
      <c r="AU16" s="859" t="s">
        <v>2038</v>
      </c>
      <c r="AV16" s="859">
        <v>20</v>
      </c>
      <c r="AW16" s="859" t="s">
        <v>2039</v>
      </c>
      <c r="AX16" s="859" t="s">
        <v>2040</v>
      </c>
      <c r="AY16" s="703">
        <v>12.18</v>
      </c>
      <c r="AZ16" s="859" t="s">
        <v>306</v>
      </c>
      <c r="BA16" s="703">
        <v>12.18</v>
      </c>
      <c r="BB16" s="703">
        <v>100</v>
      </c>
      <c r="BC16" s="1259"/>
      <c r="BD16" s="1260"/>
      <c r="BE16" s="1214"/>
      <c r="BF16" s="1214"/>
      <c r="BG16" s="847"/>
      <c r="BH16" s="859"/>
      <c r="BK16" s="9"/>
      <c r="BL16" s="237"/>
    </row>
    <row r="17" spans="1:72" s="278" customFormat="1" ht="13.35" customHeight="1">
      <c r="A17" s="322">
        <v>12</v>
      </c>
      <c r="B17" s="904" t="s">
        <v>1958</v>
      </c>
      <c r="C17" s="886">
        <v>5</v>
      </c>
      <c r="D17" s="886" t="s">
        <v>1680</v>
      </c>
      <c r="E17" s="886" t="s">
        <v>1681</v>
      </c>
      <c r="F17" s="919">
        <v>6.44</v>
      </c>
      <c r="G17" s="886" t="s">
        <v>1698</v>
      </c>
      <c r="H17" s="919">
        <v>9.23</v>
      </c>
      <c r="I17" s="919">
        <v>2700</v>
      </c>
      <c r="J17" s="785">
        <v>53</v>
      </c>
      <c r="K17" s="886" t="s">
        <v>1809</v>
      </c>
      <c r="L17" s="886">
        <v>10</v>
      </c>
      <c r="M17" s="919" t="s">
        <v>1810</v>
      </c>
      <c r="N17" s="919" t="s">
        <v>1811</v>
      </c>
      <c r="O17" s="919">
        <v>8.74</v>
      </c>
      <c r="P17" s="886" t="s">
        <v>306</v>
      </c>
      <c r="Q17" s="919">
        <v>8.74</v>
      </c>
      <c r="R17" s="919">
        <v>4500</v>
      </c>
      <c r="S17" s="785">
        <v>94</v>
      </c>
      <c r="T17" s="886" t="s">
        <v>2063</v>
      </c>
      <c r="U17" s="886">
        <v>15</v>
      </c>
      <c r="V17" s="886" t="s">
        <v>725</v>
      </c>
      <c r="W17" s="886" t="s">
        <v>726</v>
      </c>
      <c r="X17" s="919">
        <v>8.8000000000000007</v>
      </c>
      <c r="Y17" s="886" t="s">
        <v>306</v>
      </c>
      <c r="Z17" s="919">
        <v>8.8000000000000007</v>
      </c>
      <c r="AA17" s="919">
        <v>75</v>
      </c>
      <c r="AB17" s="945">
        <v>135</v>
      </c>
      <c r="AC17" s="886" t="s">
        <v>2064</v>
      </c>
      <c r="AD17" s="886">
        <v>15</v>
      </c>
      <c r="AE17" s="886" t="s">
        <v>1136</v>
      </c>
      <c r="AF17" s="886" t="s">
        <v>1138</v>
      </c>
      <c r="AG17" s="919">
        <v>12.1</v>
      </c>
      <c r="AH17" s="886" t="s">
        <v>306</v>
      </c>
      <c r="AI17" s="919">
        <v>12.1</v>
      </c>
      <c r="AJ17" s="919">
        <v>150</v>
      </c>
      <c r="AK17" s="785">
        <v>176</v>
      </c>
      <c r="AL17" s="886" t="s">
        <v>2044</v>
      </c>
      <c r="AM17" s="886">
        <v>20</v>
      </c>
      <c r="AN17" s="886" t="s">
        <v>6</v>
      </c>
      <c r="AO17" s="886" t="s">
        <v>7</v>
      </c>
      <c r="AP17" s="919">
        <v>11.48</v>
      </c>
      <c r="AQ17" s="886" t="s">
        <v>306</v>
      </c>
      <c r="AR17" s="919">
        <v>11.48</v>
      </c>
      <c r="AS17" s="782">
        <v>150</v>
      </c>
      <c r="AT17" s="785">
        <v>217</v>
      </c>
      <c r="AU17" s="886" t="s">
        <v>2045</v>
      </c>
      <c r="AV17" s="886">
        <v>20</v>
      </c>
      <c r="AW17" s="919" t="s">
        <v>2046</v>
      </c>
      <c r="AX17" s="886" t="s">
        <v>2047</v>
      </c>
      <c r="AY17" s="919">
        <v>12.28</v>
      </c>
      <c r="AZ17" s="886" t="s">
        <v>306</v>
      </c>
      <c r="BA17" s="919">
        <v>12.28</v>
      </c>
      <c r="BB17" s="919">
        <v>100</v>
      </c>
      <c r="BL17" s="237"/>
      <c r="BS17" s="587"/>
      <c r="BT17" s="587"/>
    </row>
    <row r="18" spans="1:72" s="278" customFormat="1" ht="13.35" customHeight="1">
      <c r="A18" s="280">
        <v>13</v>
      </c>
      <c r="B18" s="847" t="s">
        <v>1967</v>
      </c>
      <c r="C18" s="859">
        <v>5</v>
      </c>
      <c r="D18" s="859" t="s">
        <v>1686</v>
      </c>
      <c r="E18" s="859" t="s">
        <v>1687</v>
      </c>
      <c r="F18" s="703">
        <v>8.1</v>
      </c>
      <c r="G18" s="859" t="s">
        <v>1704</v>
      </c>
      <c r="H18" s="703">
        <v>8.9700000000000006</v>
      </c>
      <c r="I18" s="703">
        <v>4300</v>
      </c>
      <c r="J18" s="237">
        <v>54</v>
      </c>
      <c r="K18" s="939" t="s">
        <v>1818</v>
      </c>
      <c r="L18" s="939">
        <v>10</v>
      </c>
      <c r="M18" s="850" t="s">
        <v>1756</v>
      </c>
      <c r="N18" s="850" t="s">
        <v>1757</v>
      </c>
      <c r="O18" s="850">
        <v>8.66</v>
      </c>
      <c r="P18" s="939" t="s">
        <v>2110</v>
      </c>
      <c r="Q18" s="850">
        <v>5.75</v>
      </c>
      <c r="R18" s="850">
        <v>4500</v>
      </c>
      <c r="S18" s="255">
        <v>95</v>
      </c>
      <c r="T18" s="859" t="s">
        <v>2070</v>
      </c>
      <c r="U18" s="859">
        <v>15</v>
      </c>
      <c r="V18" s="859" t="s">
        <v>2071</v>
      </c>
      <c r="W18" s="859" t="s">
        <v>2072</v>
      </c>
      <c r="X18" s="703">
        <v>8.85</v>
      </c>
      <c r="Y18" s="859" t="s">
        <v>306</v>
      </c>
      <c r="Z18" s="703">
        <v>8.85</v>
      </c>
      <c r="AA18" s="703">
        <v>140</v>
      </c>
      <c r="AB18" s="237">
        <v>136</v>
      </c>
      <c r="AC18" s="859" t="s">
        <v>2073</v>
      </c>
      <c r="AD18" s="859">
        <v>15</v>
      </c>
      <c r="AE18" s="859" t="s">
        <v>1142</v>
      </c>
      <c r="AF18" s="859" t="s">
        <v>1143</v>
      </c>
      <c r="AG18" s="703">
        <v>12</v>
      </c>
      <c r="AH18" s="859" t="s">
        <v>306</v>
      </c>
      <c r="AI18" s="703">
        <v>12</v>
      </c>
      <c r="AJ18" s="703">
        <v>350</v>
      </c>
      <c r="AK18" s="237">
        <v>177</v>
      </c>
      <c r="AL18" s="859" t="s">
        <v>2051</v>
      </c>
      <c r="AM18" s="859">
        <v>20</v>
      </c>
      <c r="AN18" s="859" t="s">
        <v>8</v>
      </c>
      <c r="AO18" s="859" t="s">
        <v>9</v>
      </c>
      <c r="AP18" s="703">
        <v>11.09</v>
      </c>
      <c r="AQ18" s="859" t="s">
        <v>306</v>
      </c>
      <c r="AR18" s="703">
        <v>11.09</v>
      </c>
      <c r="AS18" s="850">
        <v>133.19999999999999</v>
      </c>
      <c r="AT18" s="237">
        <v>218</v>
      </c>
      <c r="AU18" s="859" t="s">
        <v>2052</v>
      </c>
      <c r="AV18" s="859">
        <v>20</v>
      </c>
      <c r="AW18" s="859" t="s">
        <v>2053</v>
      </c>
      <c r="AX18" s="859" t="s">
        <v>2054</v>
      </c>
      <c r="AY18" s="703">
        <v>12.38</v>
      </c>
      <c r="AZ18" s="859" t="s">
        <v>306</v>
      </c>
      <c r="BA18" s="703">
        <v>12.38</v>
      </c>
      <c r="BB18" s="703">
        <v>100</v>
      </c>
      <c r="BL18" s="237"/>
      <c r="BS18" s="587"/>
      <c r="BT18" s="587"/>
    </row>
    <row r="19" spans="1:72" s="278" customFormat="1" ht="13.35" customHeight="1">
      <c r="A19" s="322">
        <v>14</v>
      </c>
      <c r="B19" s="941" t="s">
        <v>1970</v>
      </c>
      <c r="C19" s="886">
        <v>5</v>
      </c>
      <c r="D19" s="886" t="s">
        <v>1689</v>
      </c>
      <c r="E19" s="886" t="s">
        <v>1690</v>
      </c>
      <c r="F19" s="919">
        <v>8.43</v>
      </c>
      <c r="G19" s="886" t="s">
        <v>1702</v>
      </c>
      <c r="H19" s="919">
        <v>8.9</v>
      </c>
      <c r="I19" s="919">
        <v>3000</v>
      </c>
      <c r="J19" s="945">
        <v>55</v>
      </c>
      <c r="K19" s="886" t="s">
        <v>1825</v>
      </c>
      <c r="L19" s="886">
        <v>10</v>
      </c>
      <c r="M19" s="886" t="s">
        <v>1769</v>
      </c>
      <c r="N19" s="886" t="s">
        <v>1826</v>
      </c>
      <c r="O19" s="919">
        <v>7.89</v>
      </c>
      <c r="P19" s="886" t="s">
        <v>1773</v>
      </c>
      <c r="Q19" s="919">
        <v>7.4</v>
      </c>
      <c r="R19" s="919">
        <v>4000</v>
      </c>
      <c r="S19" s="785">
        <v>96</v>
      </c>
      <c r="T19" s="886" t="s">
        <v>1796</v>
      </c>
      <c r="U19" s="886">
        <v>15</v>
      </c>
      <c r="V19" s="886" t="s">
        <v>727</v>
      </c>
      <c r="W19" s="886" t="s">
        <v>728</v>
      </c>
      <c r="X19" s="919">
        <v>8.86</v>
      </c>
      <c r="Y19" s="886" t="s">
        <v>306</v>
      </c>
      <c r="Z19" s="919">
        <v>8.86</v>
      </c>
      <c r="AA19" s="919">
        <v>140</v>
      </c>
      <c r="AB19" s="785">
        <v>137</v>
      </c>
      <c r="AC19" s="886" t="s">
        <v>1797</v>
      </c>
      <c r="AD19" s="886">
        <v>15</v>
      </c>
      <c r="AE19" s="886" t="s">
        <v>1144</v>
      </c>
      <c r="AF19" s="886" t="s">
        <v>1145</v>
      </c>
      <c r="AG19" s="919">
        <v>11.97</v>
      </c>
      <c r="AH19" s="886" t="s">
        <v>306</v>
      </c>
      <c r="AI19" s="919">
        <v>11.97</v>
      </c>
      <c r="AJ19" s="919">
        <v>350</v>
      </c>
      <c r="AK19" s="785">
        <v>178</v>
      </c>
      <c r="AL19" s="886" t="s">
        <v>2058</v>
      </c>
      <c r="AM19" s="886">
        <v>20</v>
      </c>
      <c r="AN19" s="886" t="s">
        <v>10</v>
      </c>
      <c r="AO19" s="886" t="s">
        <v>11</v>
      </c>
      <c r="AP19" s="919">
        <v>10.07</v>
      </c>
      <c r="AQ19" s="886" t="s">
        <v>306</v>
      </c>
      <c r="AR19" s="919">
        <v>10.07</v>
      </c>
      <c r="AS19" s="782">
        <v>80</v>
      </c>
      <c r="AT19" s="785">
        <v>219</v>
      </c>
      <c r="AU19" s="886" t="s">
        <v>2059</v>
      </c>
      <c r="AV19" s="886">
        <v>20</v>
      </c>
      <c r="AW19" s="886" t="s">
        <v>2060</v>
      </c>
      <c r="AX19" s="886" t="s">
        <v>2061</v>
      </c>
      <c r="AY19" s="919">
        <v>12.48</v>
      </c>
      <c r="AZ19" s="886" t="s">
        <v>306</v>
      </c>
      <c r="BA19" s="919">
        <v>12.48</v>
      </c>
      <c r="BB19" s="919">
        <v>100</v>
      </c>
      <c r="BL19" s="237"/>
      <c r="BS19" s="1214"/>
      <c r="BT19" s="847"/>
    </row>
    <row r="20" spans="1:72" s="278" customFormat="1" ht="13.35" customHeight="1">
      <c r="A20" s="280">
        <v>15</v>
      </c>
      <c r="B20" s="939" t="s">
        <v>1973</v>
      </c>
      <c r="C20" s="859">
        <v>5</v>
      </c>
      <c r="D20" s="859" t="s">
        <v>1706</v>
      </c>
      <c r="E20" s="859" t="s">
        <v>1707</v>
      </c>
      <c r="F20" s="703">
        <v>8.9700000000000006</v>
      </c>
      <c r="G20" s="859" t="s">
        <v>1974</v>
      </c>
      <c r="H20" s="703">
        <v>8.1199999999999992</v>
      </c>
      <c r="I20" s="703">
        <v>4500</v>
      </c>
      <c r="J20" s="237">
        <v>56</v>
      </c>
      <c r="K20" s="859" t="s">
        <v>2087</v>
      </c>
      <c r="L20" s="859">
        <v>10</v>
      </c>
      <c r="M20" s="859" t="s">
        <v>2088</v>
      </c>
      <c r="N20" s="859" t="s">
        <v>2111</v>
      </c>
      <c r="O20" s="703">
        <v>5.63</v>
      </c>
      <c r="P20" s="859" t="s">
        <v>2099</v>
      </c>
      <c r="Q20" s="703">
        <v>5.77</v>
      </c>
      <c r="R20" s="703">
        <v>4500</v>
      </c>
      <c r="S20" s="237">
        <v>97</v>
      </c>
      <c r="T20" s="859" t="s">
        <v>1803</v>
      </c>
      <c r="U20" s="859">
        <v>15</v>
      </c>
      <c r="V20" s="859" t="s">
        <v>729</v>
      </c>
      <c r="W20" s="859" t="s">
        <v>730</v>
      </c>
      <c r="X20" s="703">
        <v>8.92</v>
      </c>
      <c r="Y20" s="859" t="s">
        <v>306</v>
      </c>
      <c r="Z20" s="703">
        <v>8.92</v>
      </c>
      <c r="AA20" s="703">
        <v>140</v>
      </c>
      <c r="AB20" s="237">
        <v>138</v>
      </c>
      <c r="AC20" s="859" t="s">
        <v>1804</v>
      </c>
      <c r="AD20" s="859">
        <v>15</v>
      </c>
      <c r="AE20" s="859" t="s">
        <v>1149</v>
      </c>
      <c r="AF20" s="859" t="s">
        <v>1153</v>
      </c>
      <c r="AG20" s="703">
        <v>11.97</v>
      </c>
      <c r="AH20" s="859" t="s">
        <v>306</v>
      </c>
      <c r="AI20" s="703">
        <v>11.97</v>
      </c>
      <c r="AJ20" s="850">
        <v>400</v>
      </c>
      <c r="AK20" s="237">
        <v>179</v>
      </c>
      <c r="AL20" s="859" t="s">
        <v>2065</v>
      </c>
      <c r="AM20" s="859">
        <v>20</v>
      </c>
      <c r="AN20" s="703" t="s">
        <v>12</v>
      </c>
      <c r="AO20" s="859" t="s">
        <v>13</v>
      </c>
      <c r="AP20" s="703">
        <v>8.9700000000000006</v>
      </c>
      <c r="AQ20" s="859" t="s">
        <v>306</v>
      </c>
      <c r="AR20" s="703">
        <v>8.9700000000000006</v>
      </c>
      <c r="AS20" s="850">
        <v>125</v>
      </c>
      <c r="AT20" s="255">
        <v>220</v>
      </c>
      <c r="AU20" s="859" t="s">
        <v>2066</v>
      </c>
      <c r="AV20" s="859">
        <v>20</v>
      </c>
      <c r="AW20" s="859" t="s">
        <v>2067</v>
      </c>
      <c r="AX20" s="859" t="s">
        <v>2068</v>
      </c>
      <c r="AY20" s="703">
        <v>12.479999999999999</v>
      </c>
      <c r="AZ20" s="859" t="s">
        <v>306</v>
      </c>
      <c r="BA20" s="703">
        <v>12.479999999999999</v>
      </c>
      <c r="BB20" s="703">
        <v>100</v>
      </c>
      <c r="BI20" s="1260"/>
      <c r="BL20" s="237"/>
      <c r="BS20" s="281"/>
      <c r="BT20" s="847"/>
    </row>
    <row r="21" spans="1:72" s="278" customFormat="1" ht="13.35" customHeight="1">
      <c r="A21" s="322">
        <v>16</v>
      </c>
      <c r="B21" s="941" t="s">
        <v>1981</v>
      </c>
      <c r="C21" s="886">
        <v>5</v>
      </c>
      <c r="D21" s="886" t="s">
        <v>1715</v>
      </c>
      <c r="E21" s="886" t="s">
        <v>1716</v>
      </c>
      <c r="F21" s="919">
        <v>8.86</v>
      </c>
      <c r="G21" s="886" t="s">
        <v>2082</v>
      </c>
      <c r="H21" s="919">
        <v>5.69</v>
      </c>
      <c r="I21" s="919">
        <v>4000</v>
      </c>
      <c r="J21" s="785">
        <v>57</v>
      </c>
      <c r="K21" s="886" t="s">
        <v>2118</v>
      </c>
      <c r="L21" s="886">
        <v>10</v>
      </c>
      <c r="M21" s="886" t="s">
        <v>2119</v>
      </c>
      <c r="N21" s="886" t="s">
        <v>2120</v>
      </c>
      <c r="O21" s="919">
        <v>6.01</v>
      </c>
      <c r="P21" s="886" t="s">
        <v>2227</v>
      </c>
      <c r="Q21" s="919">
        <v>5.99</v>
      </c>
      <c r="R21" s="919">
        <v>4500</v>
      </c>
      <c r="S21" s="785">
        <v>98</v>
      </c>
      <c r="T21" s="886" t="s">
        <v>1812</v>
      </c>
      <c r="U21" s="886">
        <v>15</v>
      </c>
      <c r="V21" s="886" t="s">
        <v>731</v>
      </c>
      <c r="W21" s="886" t="s">
        <v>732</v>
      </c>
      <c r="X21" s="919">
        <v>8.9499999999999993</v>
      </c>
      <c r="Y21" s="886" t="s">
        <v>306</v>
      </c>
      <c r="Z21" s="919">
        <v>8.9499999999999993</v>
      </c>
      <c r="AA21" s="919">
        <v>150</v>
      </c>
      <c r="AB21" s="785">
        <v>139</v>
      </c>
      <c r="AC21" s="886" t="s">
        <v>1813</v>
      </c>
      <c r="AD21" s="886">
        <v>15</v>
      </c>
      <c r="AE21" s="886" t="s">
        <v>1152</v>
      </c>
      <c r="AF21" s="886" t="s">
        <v>1154</v>
      </c>
      <c r="AG21" s="919">
        <v>11.97</v>
      </c>
      <c r="AH21" s="886" t="s">
        <v>306</v>
      </c>
      <c r="AI21" s="919">
        <v>11.97</v>
      </c>
      <c r="AJ21" s="782">
        <v>400</v>
      </c>
      <c r="AK21" s="785">
        <v>180</v>
      </c>
      <c r="AL21" s="886" t="s">
        <v>2074</v>
      </c>
      <c r="AM21" s="886">
        <v>20</v>
      </c>
      <c r="AN21" s="886" t="s">
        <v>14</v>
      </c>
      <c r="AO21" s="886" t="s">
        <v>15</v>
      </c>
      <c r="AP21" s="919">
        <v>8.59</v>
      </c>
      <c r="AQ21" s="886" t="s">
        <v>306</v>
      </c>
      <c r="AR21" s="919">
        <v>8.59</v>
      </c>
      <c r="AS21" s="782">
        <v>3</v>
      </c>
      <c r="AT21" s="945">
        <v>221</v>
      </c>
      <c r="AU21" s="886" t="s">
        <v>2075</v>
      </c>
      <c r="AV21" s="886">
        <v>20</v>
      </c>
      <c r="AW21" s="886" t="s">
        <v>2076</v>
      </c>
      <c r="AX21" s="886" t="s">
        <v>2077</v>
      </c>
      <c r="AY21" s="919">
        <v>12.479999999999999</v>
      </c>
      <c r="AZ21" s="886" t="s">
        <v>306</v>
      </c>
      <c r="BA21" s="919">
        <v>12.479999999999999</v>
      </c>
      <c r="BB21" s="919">
        <v>100</v>
      </c>
      <c r="BL21" s="237"/>
    </row>
    <row r="22" spans="1:72" s="278" customFormat="1" ht="13.35" customHeight="1">
      <c r="A22" s="280">
        <v>17</v>
      </c>
      <c r="B22" s="939" t="s">
        <v>1988</v>
      </c>
      <c r="C22" s="859">
        <v>5</v>
      </c>
      <c r="D22" s="859" t="s">
        <v>1989</v>
      </c>
      <c r="E22" s="859" t="s">
        <v>1990</v>
      </c>
      <c r="F22" s="703">
        <v>8.1199999999999992</v>
      </c>
      <c r="G22" s="859" t="s">
        <v>306</v>
      </c>
      <c r="H22" s="703">
        <v>8.1199999999999992</v>
      </c>
      <c r="I22" s="703">
        <v>4500</v>
      </c>
      <c r="J22" s="237">
        <v>58</v>
      </c>
      <c r="K22" s="859" t="s">
        <v>2140</v>
      </c>
      <c r="L22" s="859">
        <v>10</v>
      </c>
      <c r="M22" s="859" t="s">
        <v>2141</v>
      </c>
      <c r="N22" s="859" t="s">
        <v>2142</v>
      </c>
      <c r="O22" s="703">
        <v>5.8</v>
      </c>
      <c r="P22" s="859" t="s">
        <v>2162</v>
      </c>
      <c r="Q22" s="703">
        <v>5.38</v>
      </c>
      <c r="R22" s="703">
        <v>4500</v>
      </c>
      <c r="S22" s="237">
        <v>99</v>
      </c>
      <c r="T22" s="859" t="s">
        <v>1819</v>
      </c>
      <c r="U22" s="859">
        <v>15</v>
      </c>
      <c r="V22" s="859" t="s">
        <v>733</v>
      </c>
      <c r="W22" s="859" t="s">
        <v>734</v>
      </c>
      <c r="X22" s="703">
        <v>9.0500000000000007</v>
      </c>
      <c r="Y22" s="859" t="s">
        <v>306</v>
      </c>
      <c r="Z22" s="703">
        <v>9.0500000000000007</v>
      </c>
      <c r="AA22" s="703">
        <v>150</v>
      </c>
      <c r="AB22" s="237">
        <v>140</v>
      </c>
      <c r="AC22" s="859" t="s">
        <v>1820</v>
      </c>
      <c r="AD22" s="859">
        <v>15</v>
      </c>
      <c r="AE22" s="859" t="s">
        <v>1168</v>
      </c>
      <c r="AF22" s="859" t="s">
        <v>1169</v>
      </c>
      <c r="AG22" s="703">
        <v>11.87</v>
      </c>
      <c r="AH22" s="859" t="s">
        <v>306</v>
      </c>
      <c r="AI22" s="703">
        <v>11.87</v>
      </c>
      <c r="AJ22" s="850">
        <v>250</v>
      </c>
      <c r="AK22" s="237">
        <v>181</v>
      </c>
      <c r="AL22" s="859" t="s">
        <v>1798</v>
      </c>
      <c r="AM22" s="859">
        <v>20</v>
      </c>
      <c r="AN22" s="859" t="s">
        <v>378</v>
      </c>
      <c r="AO22" s="859" t="s">
        <v>379</v>
      </c>
      <c r="AP22" s="703">
        <v>9.1</v>
      </c>
      <c r="AQ22" s="859" t="s">
        <v>306</v>
      </c>
      <c r="AR22" s="703">
        <v>9.1</v>
      </c>
      <c r="AS22" s="703">
        <v>125</v>
      </c>
      <c r="AT22" s="255">
        <v>222</v>
      </c>
      <c r="AU22" s="859" t="s">
        <v>1799</v>
      </c>
      <c r="AV22" s="859">
        <v>20</v>
      </c>
      <c r="AW22" s="859" t="s">
        <v>1800</v>
      </c>
      <c r="AX22" s="859" t="s">
        <v>1801</v>
      </c>
      <c r="AY22" s="703">
        <v>12.47</v>
      </c>
      <c r="AZ22" s="859" t="s">
        <v>306</v>
      </c>
      <c r="BA22" s="703">
        <v>12.47</v>
      </c>
      <c r="BB22" s="703">
        <v>100</v>
      </c>
      <c r="BL22" s="237"/>
    </row>
    <row r="23" spans="1:72" s="278" customFormat="1" ht="13.35" customHeight="1">
      <c r="A23" s="322">
        <v>18</v>
      </c>
      <c r="B23" s="941" t="s">
        <v>1998</v>
      </c>
      <c r="C23" s="941">
        <v>5</v>
      </c>
      <c r="D23" s="941" t="s">
        <v>1754</v>
      </c>
      <c r="E23" s="1063" t="s">
        <v>1755</v>
      </c>
      <c r="F23" s="782">
        <v>8.0500000000000007</v>
      </c>
      <c r="G23" s="886" t="s">
        <v>1325</v>
      </c>
      <c r="H23" s="782">
        <v>4.05</v>
      </c>
      <c r="I23" s="782">
        <v>4500</v>
      </c>
      <c r="J23" s="785">
        <v>59</v>
      </c>
      <c r="K23" s="886" t="s">
        <v>2228</v>
      </c>
      <c r="L23" s="886">
        <v>10</v>
      </c>
      <c r="M23" s="886" t="s">
        <v>2229</v>
      </c>
      <c r="N23" s="886" t="s">
        <v>2230</v>
      </c>
      <c r="O23" s="919">
        <v>5.4</v>
      </c>
      <c r="P23" s="886" t="s">
        <v>2233</v>
      </c>
      <c r="Q23" s="919">
        <v>6.33</v>
      </c>
      <c r="R23" s="919">
        <v>4000</v>
      </c>
      <c r="S23" s="785">
        <v>100</v>
      </c>
      <c r="T23" s="886" t="s">
        <v>1827</v>
      </c>
      <c r="U23" s="886">
        <v>15</v>
      </c>
      <c r="V23" s="886" t="s">
        <v>735</v>
      </c>
      <c r="W23" s="886" t="s">
        <v>736</v>
      </c>
      <c r="X23" s="919">
        <v>9.1199999999999992</v>
      </c>
      <c r="Y23" s="886" t="s">
        <v>306</v>
      </c>
      <c r="Z23" s="919">
        <v>9.1199999999999992</v>
      </c>
      <c r="AA23" s="919">
        <v>150</v>
      </c>
      <c r="AB23" s="785">
        <v>141</v>
      </c>
      <c r="AC23" s="886" t="s">
        <v>1828</v>
      </c>
      <c r="AD23" s="886">
        <v>15</v>
      </c>
      <c r="AE23" s="886" t="s">
        <v>1170</v>
      </c>
      <c r="AF23" s="886" t="s">
        <v>1171</v>
      </c>
      <c r="AG23" s="919">
        <v>11.59</v>
      </c>
      <c r="AH23" s="886" t="s">
        <v>306</v>
      </c>
      <c r="AI23" s="919">
        <v>11.59</v>
      </c>
      <c r="AJ23" s="782">
        <v>250</v>
      </c>
      <c r="AK23" s="785">
        <v>182</v>
      </c>
      <c r="AL23" s="886" t="s">
        <v>1805</v>
      </c>
      <c r="AM23" s="886">
        <v>20</v>
      </c>
      <c r="AN23" s="886" t="s">
        <v>380</v>
      </c>
      <c r="AO23" s="886" t="s">
        <v>381</v>
      </c>
      <c r="AP23" s="919">
        <v>9.1</v>
      </c>
      <c r="AQ23" s="886" t="s">
        <v>306</v>
      </c>
      <c r="AR23" s="919">
        <v>9.1</v>
      </c>
      <c r="AS23" s="919">
        <v>150</v>
      </c>
      <c r="AT23" s="785">
        <v>223</v>
      </c>
      <c r="AU23" s="886" t="s">
        <v>1806</v>
      </c>
      <c r="AV23" s="886">
        <v>20</v>
      </c>
      <c r="AW23" s="886" t="s">
        <v>1807</v>
      </c>
      <c r="AX23" s="886" t="s">
        <v>1808</v>
      </c>
      <c r="AY23" s="919">
        <v>12.479999999999999</v>
      </c>
      <c r="AZ23" s="886" t="s">
        <v>306</v>
      </c>
      <c r="BA23" s="919">
        <v>12.479999999999999</v>
      </c>
      <c r="BB23" s="919">
        <v>100</v>
      </c>
      <c r="BL23" s="237"/>
      <c r="BM23" s="175"/>
      <c r="BN23" s="175"/>
      <c r="BQ23" s="280"/>
    </row>
    <row r="24" spans="1:72" s="278" customFormat="1" ht="13.35" customHeight="1">
      <c r="A24" s="29">
        <v>19</v>
      </c>
      <c r="B24" s="939" t="s">
        <v>2009</v>
      </c>
      <c r="C24" s="859">
        <v>5</v>
      </c>
      <c r="D24" s="859" t="s">
        <v>1767</v>
      </c>
      <c r="E24" s="703" t="s">
        <v>1768</v>
      </c>
      <c r="F24" s="703">
        <v>7.19</v>
      </c>
      <c r="G24" s="859" t="s">
        <v>1300</v>
      </c>
      <c r="H24" s="703">
        <v>6.74</v>
      </c>
      <c r="I24" s="703">
        <v>4500</v>
      </c>
      <c r="J24" s="237">
        <v>60</v>
      </c>
      <c r="K24" s="859" t="s">
        <v>2257</v>
      </c>
      <c r="L24" s="859">
        <v>10</v>
      </c>
      <c r="M24" s="859" t="s">
        <v>2258</v>
      </c>
      <c r="N24" s="859" t="s">
        <v>2259</v>
      </c>
      <c r="O24" s="703">
        <v>6.8</v>
      </c>
      <c r="P24" s="859" t="s">
        <v>2306</v>
      </c>
      <c r="Q24" s="703">
        <v>7.4</v>
      </c>
      <c r="R24" s="703">
        <v>4500</v>
      </c>
      <c r="S24" s="237">
        <v>101</v>
      </c>
      <c r="T24" s="859" t="s">
        <v>1835</v>
      </c>
      <c r="U24" s="859">
        <v>15</v>
      </c>
      <c r="V24" s="859" t="s">
        <v>737</v>
      </c>
      <c r="W24" s="859" t="s">
        <v>738</v>
      </c>
      <c r="X24" s="703">
        <v>9.1199999999999992</v>
      </c>
      <c r="Y24" s="859" t="s">
        <v>306</v>
      </c>
      <c r="Z24" s="703">
        <v>9.1199999999999992</v>
      </c>
      <c r="AA24" s="703">
        <v>200</v>
      </c>
      <c r="AB24" s="237">
        <v>142</v>
      </c>
      <c r="AC24" s="859" t="s">
        <v>1836</v>
      </c>
      <c r="AD24" s="859">
        <v>15</v>
      </c>
      <c r="AE24" s="859" t="s">
        <v>1174</v>
      </c>
      <c r="AF24" s="859" t="s">
        <v>1175</v>
      </c>
      <c r="AG24" s="703">
        <v>11.5</v>
      </c>
      <c r="AH24" s="859" t="s">
        <v>306</v>
      </c>
      <c r="AI24" s="703">
        <v>11.5</v>
      </c>
      <c r="AJ24" s="703">
        <v>250</v>
      </c>
      <c r="AK24" s="1028">
        <v>183</v>
      </c>
      <c r="AL24" s="859" t="s">
        <v>1814</v>
      </c>
      <c r="AM24" s="859">
        <v>20</v>
      </c>
      <c r="AN24" s="859" t="s">
        <v>382</v>
      </c>
      <c r="AO24" s="859" t="s">
        <v>383</v>
      </c>
      <c r="AP24" s="703">
        <v>9.11</v>
      </c>
      <c r="AQ24" s="859" t="s">
        <v>306</v>
      </c>
      <c r="AR24" s="703">
        <v>9.11</v>
      </c>
      <c r="AS24" s="703">
        <v>100</v>
      </c>
      <c r="AT24" s="237">
        <v>224</v>
      </c>
      <c r="AU24" s="859" t="s">
        <v>1815</v>
      </c>
      <c r="AV24" s="859">
        <v>20</v>
      </c>
      <c r="AW24" s="859" t="s">
        <v>1816</v>
      </c>
      <c r="AX24" s="859" t="s">
        <v>1817</v>
      </c>
      <c r="AY24" s="703">
        <v>12.479999999999999</v>
      </c>
      <c r="AZ24" s="859" t="s">
        <v>306</v>
      </c>
      <c r="BA24" s="703">
        <v>12.479999999999999</v>
      </c>
      <c r="BB24" s="703">
        <v>150</v>
      </c>
      <c r="BC24" s="280"/>
      <c r="BD24" s="175"/>
      <c r="BE24" s="175"/>
      <c r="BF24" s="175"/>
      <c r="BG24" s="175"/>
      <c r="BH24" s="175"/>
      <c r="BI24" s="175"/>
      <c r="BJ24" s="175"/>
      <c r="BK24" s="269"/>
      <c r="BL24" s="237"/>
      <c r="BM24" s="175"/>
      <c r="BN24" s="175"/>
    </row>
    <row r="25" spans="1:72" s="175" customFormat="1" ht="13.35" customHeight="1">
      <c r="A25" s="326">
        <v>20</v>
      </c>
      <c r="B25" s="941" t="s">
        <v>2083</v>
      </c>
      <c r="C25" s="886">
        <v>5</v>
      </c>
      <c r="D25" s="886" t="s">
        <v>2084</v>
      </c>
      <c r="E25" s="919" t="s">
        <v>2085</v>
      </c>
      <c r="F25" s="919">
        <v>4.3600000000000003</v>
      </c>
      <c r="G25" s="886" t="s">
        <v>1324</v>
      </c>
      <c r="H25" s="919">
        <v>5</v>
      </c>
      <c r="I25" s="919">
        <v>4000</v>
      </c>
      <c r="J25" s="785">
        <v>61</v>
      </c>
      <c r="K25" s="886" t="s">
        <v>2389</v>
      </c>
      <c r="L25" s="886">
        <v>10</v>
      </c>
      <c r="M25" s="919" t="s">
        <v>2390</v>
      </c>
      <c r="N25" s="919" t="s">
        <v>2391</v>
      </c>
      <c r="O25" s="919">
        <v>7.1</v>
      </c>
      <c r="P25" s="886" t="s">
        <v>2432</v>
      </c>
      <c r="Q25" s="919">
        <v>7.75</v>
      </c>
      <c r="R25" s="919">
        <v>4500</v>
      </c>
      <c r="S25" s="785">
        <v>102</v>
      </c>
      <c r="T25" s="886" t="s">
        <v>1841</v>
      </c>
      <c r="U25" s="886">
        <v>15</v>
      </c>
      <c r="V25" s="886" t="s">
        <v>739</v>
      </c>
      <c r="W25" s="886" t="s">
        <v>740</v>
      </c>
      <c r="X25" s="919">
        <v>9.1999999999999993</v>
      </c>
      <c r="Y25" s="886" t="s">
        <v>306</v>
      </c>
      <c r="Z25" s="919">
        <v>9.1999999999999993</v>
      </c>
      <c r="AA25" s="919">
        <v>200</v>
      </c>
      <c r="AB25" s="1031">
        <v>143</v>
      </c>
      <c r="AC25" s="886" t="s">
        <v>1842</v>
      </c>
      <c r="AD25" s="886">
        <v>15</v>
      </c>
      <c r="AE25" s="886" t="s">
        <v>1184</v>
      </c>
      <c r="AF25" s="886" t="s">
        <v>1185</v>
      </c>
      <c r="AG25" s="919">
        <v>11.42</v>
      </c>
      <c r="AH25" s="886" t="s">
        <v>306</v>
      </c>
      <c r="AI25" s="919">
        <v>11.42</v>
      </c>
      <c r="AJ25" s="919">
        <v>250</v>
      </c>
      <c r="AK25" s="785">
        <v>184</v>
      </c>
      <c r="AL25" s="886" t="s">
        <v>1821</v>
      </c>
      <c r="AM25" s="886">
        <v>20</v>
      </c>
      <c r="AN25" s="919" t="s">
        <v>384</v>
      </c>
      <c r="AO25" s="886" t="s">
        <v>385</v>
      </c>
      <c r="AP25" s="919">
        <v>9.15</v>
      </c>
      <c r="AQ25" s="886" t="s">
        <v>306</v>
      </c>
      <c r="AR25" s="919">
        <v>9.15</v>
      </c>
      <c r="AS25" s="919">
        <v>100</v>
      </c>
      <c r="AT25" s="785">
        <v>225</v>
      </c>
      <c r="AU25" s="886" t="s">
        <v>1822</v>
      </c>
      <c r="AV25" s="886">
        <v>20</v>
      </c>
      <c r="AW25" s="886" t="s">
        <v>1823</v>
      </c>
      <c r="AX25" s="886" t="s">
        <v>1824</v>
      </c>
      <c r="AY25" s="919">
        <v>12.479999999999999</v>
      </c>
      <c r="AZ25" s="886" t="s">
        <v>306</v>
      </c>
      <c r="BA25" s="919">
        <v>12.479999999999999</v>
      </c>
      <c r="BB25" s="919">
        <v>150</v>
      </c>
      <c r="BC25" s="381"/>
      <c r="BD25" s="859"/>
      <c r="BE25" s="703"/>
      <c r="BF25" s="859"/>
      <c r="BG25" s="381"/>
      <c r="BH25" s="381"/>
      <c r="BI25" s="381"/>
      <c r="BJ25" s="601"/>
      <c r="BK25" s="556"/>
      <c r="BL25" s="237"/>
    </row>
    <row r="26" spans="1:72" s="175" customFormat="1" ht="13.35" customHeight="1">
      <c r="A26" s="1067">
        <v>21</v>
      </c>
      <c r="B26" s="939" t="s">
        <v>2097</v>
      </c>
      <c r="C26" s="859">
        <v>5</v>
      </c>
      <c r="D26" s="859" t="s">
        <v>1307</v>
      </c>
      <c r="E26" s="703" t="s">
        <v>2098</v>
      </c>
      <c r="F26" s="703">
        <v>4.6399999999999997</v>
      </c>
      <c r="G26" s="859" t="s">
        <v>1326</v>
      </c>
      <c r="H26" s="703">
        <v>4.25</v>
      </c>
      <c r="I26" s="703">
        <v>4000</v>
      </c>
      <c r="J26" s="237">
        <v>62</v>
      </c>
      <c r="K26" s="859" t="s">
        <v>2441</v>
      </c>
      <c r="L26" s="859">
        <v>10</v>
      </c>
      <c r="M26" s="703" t="s">
        <v>2442</v>
      </c>
      <c r="N26" s="703" t="s">
        <v>2443</v>
      </c>
      <c r="O26" s="703">
        <v>8</v>
      </c>
      <c r="P26" s="859" t="s">
        <v>2556</v>
      </c>
      <c r="Q26" s="703">
        <v>8.17</v>
      </c>
      <c r="R26" s="703">
        <v>4300</v>
      </c>
      <c r="S26" s="1028">
        <v>103</v>
      </c>
      <c r="T26" s="859" t="s">
        <v>1849</v>
      </c>
      <c r="U26" s="859">
        <v>15</v>
      </c>
      <c r="V26" s="859" t="s">
        <v>760</v>
      </c>
      <c r="W26" s="859" t="s">
        <v>761</v>
      </c>
      <c r="X26" s="703">
        <v>9.3000000000000007</v>
      </c>
      <c r="Y26" s="859" t="s">
        <v>306</v>
      </c>
      <c r="Z26" s="703">
        <v>9.3000000000000007</v>
      </c>
      <c r="AA26" s="703">
        <v>250</v>
      </c>
      <c r="AB26" s="237">
        <v>144</v>
      </c>
      <c r="AC26" s="859" t="s">
        <v>1850</v>
      </c>
      <c r="AD26" s="859">
        <v>15</v>
      </c>
      <c r="AE26" s="859" t="s">
        <v>1186</v>
      </c>
      <c r="AF26" s="859" t="s">
        <v>1187</v>
      </c>
      <c r="AG26" s="703">
        <v>11.469999999999999</v>
      </c>
      <c r="AH26" s="859" t="s">
        <v>1851</v>
      </c>
      <c r="AI26" s="703">
        <v>11.4</v>
      </c>
      <c r="AJ26" s="703">
        <v>680</v>
      </c>
      <c r="AK26" s="237">
        <v>185</v>
      </c>
      <c r="AL26" s="859" t="s">
        <v>1829</v>
      </c>
      <c r="AM26" s="859">
        <v>20</v>
      </c>
      <c r="AN26" s="703" t="s">
        <v>1830</v>
      </c>
      <c r="AO26" s="859" t="s">
        <v>1831</v>
      </c>
      <c r="AP26" s="703">
        <v>9.17</v>
      </c>
      <c r="AQ26" s="859" t="s">
        <v>306</v>
      </c>
      <c r="AR26" s="703">
        <v>9.17</v>
      </c>
      <c r="AS26" s="703">
        <v>80</v>
      </c>
      <c r="AT26" s="237">
        <v>226</v>
      </c>
      <c r="AU26" s="859" t="s">
        <v>1832</v>
      </c>
      <c r="AV26" s="859">
        <v>20</v>
      </c>
      <c r="AW26" s="859" t="s">
        <v>1833</v>
      </c>
      <c r="AX26" s="859" t="s">
        <v>1834</v>
      </c>
      <c r="AY26" s="703">
        <v>12.479999999999999</v>
      </c>
      <c r="AZ26" s="859" t="s">
        <v>306</v>
      </c>
      <c r="BA26" s="703">
        <v>12.479999999999999</v>
      </c>
      <c r="BB26" s="703">
        <v>150</v>
      </c>
      <c r="BC26" s="381"/>
      <c r="BD26" s="859"/>
      <c r="BE26" s="859"/>
      <c r="BF26" s="859"/>
      <c r="BG26" s="381"/>
      <c r="BH26" s="381"/>
      <c r="BI26" s="381"/>
      <c r="BJ26" s="601"/>
      <c r="BK26" s="556"/>
      <c r="BL26" s="237"/>
    </row>
    <row r="27" spans="1:72" s="175" customFormat="1" ht="13.35" customHeight="1">
      <c r="A27" s="1032">
        <v>22</v>
      </c>
      <c r="B27" s="941" t="s">
        <v>2127</v>
      </c>
      <c r="C27" s="886">
        <v>5</v>
      </c>
      <c r="D27" s="886" t="s">
        <v>2128</v>
      </c>
      <c r="E27" s="886" t="s">
        <v>2129</v>
      </c>
      <c r="F27" s="919">
        <v>4.25</v>
      </c>
      <c r="G27" s="886" t="s">
        <v>2226</v>
      </c>
      <c r="H27" s="919">
        <v>4.1399999999999997</v>
      </c>
      <c r="I27" s="919">
        <v>4500</v>
      </c>
      <c r="J27" s="1031">
        <v>63</v>
      </c>
      <c r="K27" s="886" t="s">
        <v>2471</v>
      </c>
      <c r="L27" s="886">
        <v>10</v>
      </c>
      <c r="M27" s="886" t="s">
        <v>2472</v>
      </c>
      <c r="N27" s="886" t="s">
        <v>2473</v>
      </c>
      <c r="O27" s="919">
        <v>8.1</v>
      </c>
      <c r="P27" s="886" t="s">
        <v>2489</v>
      </c>
      <c r="Q27" s="919">
        <v>7.89</v>
      </c>
      <c r="R27" s="919">
        <v>4500</v>
      </c>
      <c r="S27" s="785">
        <v>104</v>
      </c>
      <c r="T27" s="886" t="s">
        <v>1854</v>
      </c>
      <c r="U27" s="886">
        <v>15</v>
      </c>
      <c r="V27" s="886" t="s">
        <v>1074</v>
      </c>
      <c r="W27" s="886" t="s">
        <v>1075</v>
      </c>
      <c r="X27" s="919">
        <v>9.35</v>
      </c>
      <c r="Y27" s="886" t="s">
        <v>306</v>
      </c>
      <c r="Z27" s="919">
        <v>9.35</v>
      </c>
      <c r="AA27" s="919">
        <v>250</v>
      </c>
      <c r="AB27" s="785">
        <v>145</v>
      </c>
      <c r="AC27" s="886" t="s">
        <v>1855</v>
      </c>
      <c r="AD27" s="886">
        <v>15</v>
      </c>
      <c r="AE27" s="886" t="s">
        <v>1301</v>
      </c>
      <c r="AF27" s="886" t="s">
        <v>744</v>
      </c>
      <c r="AG27" s="919">
        <v>10.059999999999999</v>
      </c>
      <c r="AH27" s="886" t="s">
        <v>1721</v>
      </c>
      <c r="AI27" s="919">
        <v>9.09</v>
      </c>
      <c r="AJ27" s="919">
        <v>3000</v>
      </c>
      <c r="AK27" s="785">
        <v>186</v>
      </c>
      <c r="AL27" s="886" t="s">
        <v>1837</v>
      </c>
      <c r="AM27" s="886">
        <v>20</v>
      </c>
      <c r="AN27" s="919" t="s">
        <v>741</v>
      </c>
      <c r="AO27" s="886" t="s">
        <v>742</v>
      </c>
      <c r="AP27" s="919">
        <v>9.1999999999999993</v>
      </c>
      <c r="AQ27" s="886" t="s">
        <v>306</v>
      </c>
      <c r="AR27" s="919">
        <v>9.1999999999999993</v>
      </c>
      <c r="AS27" s="919">
        <v>75</v>
      </c>
      <c r="AT27" s="785">
        <v>227</v>
      </c>
      <c r="AU27" s="886" t="s">
        <v>1838</v>
      </c>
      <c r="AV27" s="886">
        <v>20</v>
      </c>
      <c r="AW27" s="886" t="s">
        <v>1839</v>
      </c>
      <c r="AX27" s="886" t="s">
        <v>1840</v>
      </c>
      <c r="AY27" s="919">
        <v>12.479999999999999</v>
      </c>
      <c r="AZ27" s="886" t="s">
        <v>306</v>
      </c>
      <c r="BA27" s="919">
        <v>12.479999999999999</v>
      </c>
      <c r="BB27" s="919">
        <v>150</v>
      </c>
      <c r="BC27" s="381"/>
      <c r="BD27" s="859"/>
      <c r="BE27" s="859"/>
      <c r="BF27" s="859"/>
      <c r="BG27" s="381"/>
      <c r="BH27" s="381"/>
      <c r="BI27" s="381"/>
      <c r="BJ27" s="601"/>
      <c r="BK27" s="556"/>
      <c r="BL27" s="237"/>
    </row>
    <row r="28" spans="1:72" s="175" customFormat="1" ht="13.35" customHeight="1">
      <c r="A28" s="264">
        <v>23</v>
      </c>
      <c r="B28" s="939" t="s">
        <v>2159</v>
      </c>
      <c r="C28" s="859">
        <v>5</v>
      </c>
      <c r="D28" s="859" t="s">
        <v>2160</v>
      </c>
      <c r="E28" s="859" t="s">
        <v>2161</v>
      </c>
      <c r="F28" s="703">
        <v>3.88</v>
      </c>
      <c r="G28" s="859" t="s">
        <v>2170</v>
      </c>
      <c r="H28" s="703">
        <v>3.9</v>
      </c>
      <c r="I28" s="703">
        <v>4500</v>
      </c>
      <c r="J28" s="237">
        <v>64</v>
      </c>
      <c r="K28" s="859" t="s">
        <v>2574</v>
      </c>
      <c r="L28" s="859">
        <v>10</v>
      </c>
      <c r="M28" s="859" t="s">
        <v>2575</v>
      </c>
      <c r="N28" s="859" t="s">
        <v>2576</v>
      </c>
      <c r="O28" s="703">
        <v>8.1</v>
      </c>
      <c r="P28" s="859" t="s">
        <v>2654</v>
      </c>
      <c r="Q28" s="703">
        <v>8.26</v>
      </c>
      <c r="R28" s="703">
        <v>4000</v>
      </c>
      <c r="S28" s="237">
        <v>105</v>
      </c>
      <c r="T28" s="859" t="s">
        <v>1858</v>
      </c>
      <c r="U28" s="859">
        <v>15</v>
      </c>
      <c r="V28" s="859" t="s">
        <v>1076</v>
      </c>
      <c r="W28" s="859" t="s">
        <v>1077</v>
      </c>
      <c r="X28" s="703">
        <v>9.35</v>
      </c>
      <c r="Y28" s="859" t="s">
        <v>306</v>
      </c>
      <c r="Z28" s="703">
        <v>9.35</v>
      </c>
      <c r="AA28" s="703">
        <v>250</v>
      </c>
      <c r="AB28" s="237">
        <v>146</v>
      </c>
      <c r="AC28" s="859" t="s">
        <v>1859</v>
      </c>
      <c r="AD28" s="859">
        <v>15</v>
      </c>
      <c r="AE28" s="859" t="s">
        <v>1303</v>
      </c>
      <c r="AF28" s="859" t="s">
        <v>1304</v>
      </c>
      <c r="AG28" s="703">
        <v>8.44</v>
      </c>
      <c r="AH28" s="859" t="s">
        <v>1582</v>
      </c>
      <c r="AI28" s="703">
        <v>7.99</v>
      </c>
      <c r="AJ28" s="703">
        <v>3000</v>
      </c>
      <c r="AK28" s="237">
        <v>187</v>
      </c>
      <c r="AL28" s="859" t="s">
        <v>1843</v>
      </c>
      <c r="AM28" s="859">
        <v>20</v>
      </c>
      <c r="AN28" s="859" t="s">
        <v>1844</v>
      </c>
      <c r="AO28" s="859" t="s">
        <v>1845</v>
      </c>
      <c r="AP28" s="703">
        <v>9.15</v>
      </c>
      <c r="AQ28" s="859" t="s">
        <v>306</v>
      </c>
      <c r="AR28" s="703">
        <v>9.15</v>
      </c>
      <c r="AS28" s="703">
        <v>75</v>
      </c>
      <c r="AT28" s="1028">
        <v>228</v>
      </c>
      <c r="AU28" s="859" t="s">
        <v>1846</v>
      </c>
      <c r="AV28" s="859">
        <v>20</v>
      </c>
      <c r="AW28" s="859" t="s">
        <v>1847</v>
      </c>
      <c r="AX28" s="859" t="s">
        <v>1848</v>
      </c>
      <c r="AY28" s="703">
        <v>12.33</v>
      </c>
      <c r="AZ28" s="859" t="s">
        <v>306</v>
      </c>
      <c r="BA28" s="703">
        <v>12.33</v>
      </c>
      <c r="BB28" s="703">
        <v>150</v>
      </c>
      <c r="BC28" s="381"/>
      <c r="BD28" s="859"/>
      <c r="BE28" s="859"/>
      <c r="BF28" s="859"/>
      <c r="BG28" s="381"/>
      <c r="BH28" s="381"/>
      <c r="BI28" s="381"/>
      <c r="BJ28" s="601"/>
      <c r="BK28" s="556"/>
      <c r="BL28" s="380"/>
    </row>
    <row r="29" spans="1:72" s="175" customFormat="1" ht="13.35" customHeight="1">
      <c r="A29" s="1033">
        <v>24</v>
      </c>
      <c r="B29" s="941" t="s">
        <v>2234</v>
      </c>
      <c r="C29" s="886">
        <v>5</v>
      </c>
      <c r="D29" s="886" t="s">
        <v>2235</v>
      </c>
      <c r="E29" s="886" t="s">
        <v>2236</v>
      </c>
      <c r="F29" s="919">
        <v>4.97</v>
      </c>
      <c r="G29" s="904" t="s">
        <v>2305</v>
      </c>
      <c r="H29" s="588">
        <v>6.5</v>
      </c>
      <c r="I29" s="588">
        <v>4063.34</v>
      </c>
      <c r="J29" s="785">
        <v>65</v>
      </c>
      <c r="K29" s="886" t="s">
        <v>1862</v>
      </c>
      <c r="L29" s="886">
        <v>15</v>
      </c>
      <c r="M29" s="886" t="s">
        <v>509</v>
      </c>
      <c r="N29" s="886" t="s">
        <v>510</v>
      </c>
      <c r="O29" s="919">
        <v>12.89</v>
      </c>
      <c r="P29" s="886" t="s">
        <v>306</v>
      </c>
      <c r="Q29" s="919">
        <v>12.89</v>
      </c>
      <c r="R29" s="919">
        <v>100</v>
      </c>
      <c r="S29" s="785">
        <v>106</v>
      </c>
      <c r="T29" s="886" t="s">
        <v>1863</v>
      </c>
      <c r="U29" s="886">
        <v>15</v>
      </c>
      <c r="V29" s="886" t="s">
        <v>1078</v>
      </c>
      <c r="W29" s="886" t="s">
        <v>1079</v>
      </c>
      <c r="X29" s="919">
        <v>9.65</v>
      </c>
      <c r="Y29" s="886" t="s">
        <v>306</v>
      </c>
      <c r="Z29" s="919">
        <v>9.65</v>
      </c>
      <c r="AA29" s="919">
        <v>150</v>
      </c>
      <c r="AB29" s="785">
        <v>147</v>
      </c>
      <c r="AC29" s="886" t="s">
        <v>1864</v>
      </c>
      <c r="AD29" s="886">
        <v>15</v>
      </c>
      <c r="AE29" s="886" t="s">
        <v>1328</v>
      </c>
      <c r="AF29" s="886" t="s">
        <v>763</v>
      </c>
      <c r="AG29" s="919">
        <v>7.79</v>
      </c>
      <c r="AH29" s="886" t="s">
        <v>1586</v>
      </c>
      <c r="AI29" s="919">
        <v>7.52</v>
      </c>
      <c r="AJ29" s="919">
        <v>2850</v>
      </c>
      <c r="AK29" s="785">
        <v>188</v>
      </c>
      <c r="AL29" s="886" t="s">
        <v>1852</v>
      </c>
      <c r="AM29" s="886">
        <v>20</v>
      </c>
      <c r="AN29" s="886" t="s">
        <v>743</v>
      </c>
      <c r="AO29" s="886" t="s">
        <v>744</v>
      </c>
      <c r="AP29" s="919">
        <v>9.1999999999999993</v>
      </c>
      <c r="AQ29" s="886" t="s">
        <v>306</v>
      </c>
      <c r="AR29" s="919">
        <v>9.1999999999999993</v>
      </c>
      <c r="AS29" s="919">
        <v>125</v>
      </c>
      <c r="AT29" s="785">
        <v>229</v>
      </c>
      <c r="AU29" s="886" t="s">
        <v>1853</v>
      </c>
      <c r="AV29" s="886">
        <v>20</v>
      </c>
      <c r="AW29" s="886" t="s">
        <v>1129</v>
      </c>
      <c r="AX29" s="886" t="s">
        <v>1131</v>
      </c>
      <c r="AY29" s="919">
        <v>12.33</v>
      </c>
      <c r="AZ29" s="886" t="s">
        <v>306</v>
      </c>
      <c r="BA29" s="919">
        <v>12.33</v>
      </c>
      <c r="BB29" s="919">
        <v>150</v>
      </c>
      <c r="BC29" s="381"/>
      <c r="BD29" s="859"/>
      <c r="BE29" s="859"/>
      <c r="BF29" s="859"/>
      <c r="BG29" s="381"/>
      <c r="BH29" s="381"/>
      <c r="BI29" s="381"/>
      <c r="BJ29" s="601"/>
      <c r="BK29" s="556"/>
      <c r="BL29" s="380"/>
    </row>
    <row r="30" spans="1:72" s="175" customFormat="1" ht="13.35" customHeight="1">
      <c r="A30" s="264">
        <v>25</v>
      </c>
      <c r="B30" s="939" t="s">
        <v>2298</v>
      </c>
      <c r="C30" s="859">
        <v>5</v>
      </c>
      <c r="D30" s="859" t="s">
        <v>1073</v>
      </c>
      <c r="E30" s="703" t="s">
        <v>2299</v>
      </c>
      <c r="F30" s="703">
        <v>6.5</v>
      </c>
      <c r="G30" s="859" t="s">
        <v>2402</v>
      </c>
      <c r="H30" s="703">
        <v>5.75</v>
      </c>
      <c r="I30" s="703">
        <v>4500</v>
      </c>
      <c r="J30" s="237">
        <v>66</v>
      </c>
      <c r="K30" s="859" t="s">
        <v>1867</v>
      </c>
      <c r="L30" s="859">
        <v>15</v>
      </c>
      <c r="M30" s="859" t="s">
        <v>311</v>
      </c>
      <c r="N30" s="859" t="s">
        <v>319</v>
      </c>
      <c r="O30" s="703">
        <v>12.22</v>
      </c>
      <c r="P30" s="859" t="s">
        <v>306</v>
      </c>
      <c r="Q30" s="703">
        <v>12.22</v>
      </c>
      <c r="R30" s="703">
        <v>100</v>
      </c>
      <c r="S30" s="237">
        <v>107</v>
      </c>
      <c r="T30" s="859" t="s">
        <v>1868</v>
      </c>
      <c r="U30" s="859">
        <v>15</v>
      </c>
      <c r="V30" s="859" t="s">
        <v>1080</v>
      </c>
      <c r="W30" s="859" t="s">
        <v>1081</v>
      </c>
      <c r="X30" s="703">
        <v>10.3</v>
      </c>
      <c r="Y30" s="859" t="s">
        <v>306</v>
      </c>
      <c r="Z30" s="703">
        <v>10.3</v>
      </c>
      <c r="AA30" s="703">
        <v>150</v>
      </c>
      <c r="AB30" s="237">
        <v>148</v>
      </c>
      <c r="AC30" s="703" t="s">
        <v>1869</v>
      </c>
      <c r="AD30" s="859">
        <v>15</v>
      </c>
      <c r="AE30" s="859" t="s">
        <v>1628</v>
      </c>
      <c r="AF30" s="859" t="s">
        <v>1629</v>
      </c>
      <c r="AG30" s="703">
        <v>7.1999999999999993</v>
      </c>
      <c r="AH30" s="859" t="s">
        <v>1711</v>
      </c>
      <c r="AI30" s="703">
        <v>9.33</v>
      </c>
      <c r="AJ30" s="703">
        <v>4500</v>
      </c>
      <c r="AK30" s="237">
        <v>189</v>
      </c>
      <c r="AL30" s="859" t="s">
        <v>1856</v>
      </c>
      <c r="AM30" s="859">
        <v>20</v>
      </c>
      <c r="AN30" s="859" t="s">
        <v>745</v>
      </c>
      <c r="AO30" s="859" t="s">
        <v>746</v>
      </c>
      <c r="AP30" s="703">
        <v>9.23</v>
      </c>
      <c r="AQ30" s="859" t="s">
        <v>306</v>
      </c>
      <c r="AR30" s="703">
        <v>9.23</v>
      </c>
      <c r="AS30" s="703">
        <v>125</v>
      </c>
      <c r="AT30" s="237">
        <v>230</v>
      </c>
      <c r="AU30" s="859" t="s">
        <v>1857</v>
      </c>
      <c r="AV30" s="859">
        <v>20</v>
      </c>
      <c r="AW30" s="859" t="s">
        <v>1133</v>
      </c>
      <c r="AX30" s="859" t="s">
        <v>1134</v>
      </c>
      <c r="AY30" s="703">
        <v>12.26</v>
      </c>
      <c r="AZ30" s="859" t="s">
        <v>306</v>
      </c>
      <c r="BA30" s="703">
        <v>12.26</v>
      </c>
      <c r="BB30" s="703">
        <v>150</v>
      </c>
      <c r="BC30" s="381"/>
      <c r="BD30" s="859"/>
      <c r="BE30" s="859"/>
      <c r="BF30" s="859"/>
      <c r="BG30" s="381"/>
      <c r="BH30" s="381"/>
      <c r="BI30" s="381"/>
      <c r="BJ30" s="601"/>
      <c r="BK30" s="556"/>
      <c r="BL30" s="380"/>
      <c r="BM30" s="1029"/>
      <c r="BN30" s="1030"/>
      <c r="BO30" s="1029"/>
      <c r="BP30" s="379"/>
      <c r="BQ30" s="379"/>
    </row>
    <row r="31" spans="1:72" s="175" customFormat="1" ht="13.35" customHeight="1">
      <c r="A31" s="1033">
        <v>26</v>
      </c>
      <c r="B31" s="941" t="s">
        <v>2407</v>
      </c>
      <c r="C31" s="886">
        <v>5</v>
      </c>
      <c r="D31" s="886" t="s">
        <v>2408</v>
      </c>
      <c r="E31" s="886" t="s">
        <v>2409</v>
      </c>
      <c r="F31" s="919">
        <v>6.25</v>
      </c>
      <c r="G31" s="886" t="s">
        <v>2597</v>
      </c>
      <c r="H31" s="919">
        <v>7.72</v>
      </c>
      <c r="I31" s="919">
        <v>5699.41</v>
      </c>
      <c r="J31" s="785">
        <v>67</v>
      </c>
      <c r="K31" s="886" t="s">
        <v>1872</v>
      </c>
      <c r="L31" s="886">
        <v>15</v>
      </c>
      <c r="M31" s="886" t="s">
        <v>312</v>
      </c>
      <c r="N31" s="886" t="s">
        <v>320</v>
      </c>
      <c r="O31" s="919">
        <v>12.22</v>
      </c>
      <c r="P31" s="886" t="s">
        <v>306</v>
      </c>
      <c r="Q31" s="919">
        <v>12.22</v>
      </c>
      <c r="R31" s="919">
        <v>100</v>
      </c>
      <c r="S31" s="785">
        <v>108</v>
      </c>
      <c r="T31" s="886" t="s">
        <v>1873</v>
      </c>
      <c r="U31" s="886">
        <v>15</v>
      </c>
      <c r="V31" s="886" t="s">
        <v>1874</v>
      </c>
      <c r="W31" s="886" t="s">
        <v>1875</v>
      </c>
      <c r="X31" s="919">
        <v>10.99</v>
      </c>
      <c r="Y31" s="886" t="s">
        <v>306</v>
      </c>
      <c r="Z31" s="919">
        <v>10.99</v>
      </c>
      <c r="AA31" s="919">
        <v>200</v>
      </c>
      <c r="AB31" s="785">
        <v>149</v>
      </c>
      <c r="AC31" s="886" t="s">
        <v>1876</v>
      </c>
      <c r="AD31" s="886">
        <v>15</v>
      </c>
      <c r="AE31" s="886" t="s">
        <v>1675</v>
      </c>
      <c r="AF31" s="886" t="s">
        <v>1676</v>
      </c>
      <c r="AG31" s="919">
        <v>7.55</v>
      </c>
      <c r="AH31" s="886" t="s">
        <v>2137</v>
      </c>
      <c r="AI31" s="919">
        <v>5.87</v>
      </c>
      <c r="AJ31" s="919">
        <v>4150</v>
      </c>
      <c r="AK31" s="785">
        <v>190</v>
      </c>
      <c r="AL31" s="886" t="s">
        <v>1860</v>
      </c>
      <c r="AM31" s="886">
        <v>20</v>
      </c>
      <c r="AN31" s="886" t="s">
        <v>747</v>
      </c>
      <c r="AO31" s="886" t="s">
        <v>748</v>
      </c>
      <c r="AP31" s="919">
        <v>9.25</v>
      </c>
      <c r="AQ31" s="886" t="s">
        <v>306</v>
      </c>
      <c r="AR31" s="919">
        <v>9.25</v>
      </c>
      <c r="AS31" s="919">
        <v>125</v>
      </c>
      <c r="AT31" s="785">
        <v>231</v>
      </c>
      <c r="AU31" s="886" t="s">
        <v>1861</v>
      </c>
      <c r="AV31" s="886">
        <v>20</v>
      </c>
      <c r="AW31" s="886" t="s">
        <v>1136</v>
      </c>
      <c r="AX31" s="886" t="s">
        <v>1137</v>
      </c>
      <c r="AY31" s="919">
        <v>12.24</v>
      </c>
      <c r="AZ31" s="886" t="s">
        <v>306</v>
      </c>
      <c r="BA31" s="919">
        <v>12.24</v>
      </c>
      <c r="BB31" s="919">
        <v>150</v>
      </c>
      <c r="BC31" s="381"/>
      <c r="BD31" s="859"/>
      <c r="BE31" s="859"/>
      <c r="BF31" s="859"/>
      <c r="BG31" s="381"/>
      <c r="BH31" s="381"/>
      <c r="BI31" s="381"/>
      <c r="BJ31" s="601"/>
      <c r="BK31" s="556"/>
      <c r="BL31" s="380"/>
      <c r="BM31" s="1029"/>
      <c r="BN31" s="1030"/>
      <c r="BO31" s="1029"/>
      <c r="BP31" s="379"/>
      <c r="BQ31" s="379"/>
    </row>
    <row r="32" spans="1:72" s="263" customFormat="1" ht="13.35" customHeight="1">
      <c r="A32" s="264">
        <v>27</v>
      </c>
      <c r="B32" s="939" t="s">
        <v>2444</v>
      </c>
      <c r="C32" s="859">
        <v>5</v>
      </c>
      <c r="D32" s="859" t="s">
        <v>2445</v>
      </c>
      <c r="E32" s="859" t="s">
        <v>2446</v>
      </c>
      <c r="F32" s="703">
        <v>7.7</v>
      </c>
      <c r="G32" s="859" t="s">
        <v>2470</v>
      </c>
      <c r="H32" s="703">
        <v>7.8</v>
      </c>
      <c r="I32" s="703">
        <v>4499.6000000000004</v>
      </c>
      <c r="J32" s="237">
        <v>68</v>
      </c>
      <c r="K32" s="847" t="s">
        <v>1880</v>
      </c>
      <c r="L32" s="847">
        <v>15</v>
      </c>
      <c r="M32" s="847" t="s">
        <v>1881</v>
      </c>
      <c r="N32" s="847" t="s">
        <v>1882</v>
      </c>
      <c r="O32" s="587">
        <v>12.22</v>
      </c>
      <c r="P32" s="847" t="s">
        <v>306</v>
      </c>
      <c r="Q32" s="587">
        <v>12.22</v>
      </c>
      <c r="R32" s="587">
        <v>100</v>
      </c>
      <c r="S32" s="237">
        <v>109</v>
      </c>
      <c r="T32" s="859" t="s">
        <v>1883</v>
      </c>
      <c r="U32" s="859">
        <v>15</v>
      </c>
      <c r="V32" s="859" t="s">
        <v>1082</v>
      </c>
      <c r="W32" s="859" t="s">
        <v>1083</v>
      </c>
      <c r="X32" s="703">
        <v>11</v>
      </c>
      <c r="Y32" s="859" t="s">
        <v>306</v>
      </c>
      <c r="Z32" s="703">
        <v>11</v>
      </c>
      <c r="AA32" s="703">
        <v>200</v>
      </c>
      <c r="AB32" s="237">
        <v>150</v>
      </c>
      <c r="AC32" s="859" t="s">
        <v>1884</v>
      </c>
      <c r="AD32" s="859">
        <v>15</v>
      </c>
      <c r="AE32" s="859" t="s">
        <v>1885</v>
      </c>
      <c r="AF32" s="859" t="s">
        <v>1886</v>
      </c>
      <c r="AG32" s="703">
        <v>8.9</v>
      </c>
      <c r="AH32" s="859" t="s">
        <v>2139</v>
      </c>
      <c r="AI32" s="703">
        <v>6.07</v>
      </c>
      <c r="AJ32" s="703">
        <v>4450</v>
      </c>
      <c r="AK32" s="237">
        <v>191</v>
      </c>
      <c r="AL32" s="859" t="s">
        <v>1865</v>
      </c>
      <c r="AM32" s="859">
        <v>20</v>
      </c>
      <c r="AN32" s="859" t="s">
        <v>749</v>
      </c>
      <c r="AO32" s="859" t="s">
        <v>750</v>
      </c>
      <c r="AP32" s="703">
        <v>9.25</v>
      </c>
      <c r="AQ32" s="859" t="s">
        <v>306</v>
      </c>
      <c r="AR32" s="703">
        <v>9.25</v>
      </c>
      <c r="AS32" s="703">
        <v>125</v>
      </c>
      <c r="AT32" s="237">
        <v>232</v>
      </c>
      <c r="AU32" s="859" t="s">
        <v>1866</v>
      </c>
      <c r="AV32" s="859">
        <v>20</v>
      </c>
      <c r="AW32" s="859" t="s">
        <v>1142</v>
      </c>
      <c r="AX32" s="859" t="s">
        <v>1146</v>
      </c>
      <c r="AY32" s="703">
        <v>12.139999999999999</v>
      </c>
      <c r="AZ32" s="859" t="s">
        <v>306</v>
      </c>
      <c r="BA32" s="703">
        <v>12.139999999999999</v>
      </c>
      <c r="BB32" s="703">
        <v>300</v>
      </c>
      <c r="BC32" s="381"/>
      <c r="BD32" s="859"/>
      <c r="BE32" s="859"/>
      <c r="BF32" s="859"/>
      <c r="BG32" s="381"/>
      <c r="BH32" s="381"/>
      <c r="BI32" s="381"/>
      <c r="BJ32" s="601"/>
      <c r="BK32" s="556"/>
      <c r="BL32" s="380"/>
      <c r="BM32" s="1029"/>
      <c r="BN32" s="1030"/>
      <c r="BO32" s="1029"/>
      <c r="BP32" s="379"/>
      <c r="BQ32" s="379"/>
    </row>
    <row r="33" spans="1:69" s="263" customFormat="1" ht="13.35" customHeight="1">
      <c r="A33" s="1033">
        <v>28</v>
      </c>
      <c r="B33" s="904" t="s">
        <v>2486</v>
      </c>
      <c r="C33" s="904">
        <v>5</v>
      </c>
      <c r="D33" s="935" t="s">
        <v>2487</v>
      </c>
      <c r="E33" s="904" t="s">
        <v>2488</v>
      </c>
      <c r="F33" s="588">
        <v>7.89</v>
      </c>
      <c r="G33" s="904" t="s">
        <v>2555</v>
      </c>
      <c r="H33" s="588">
        <v>7.8</v>
      </c>
      <c r="I33" s="782">
        <v>3300</v>
      </c>
      <c r="J33" s="785">
        <v>69</v>
      </c>
      <c r="K33" s="875" t="s">
        <v>1889</v>
      </c>
      <c r="L33" s="875">
        <v>15</v>
      </c>
      <c r="M33" s="875" t="s">
        <v>313</v>
      </c>
      <c r="N33" s="875" t="s">
        <v>321</v>
      </c>
      <c r="O33" s="879">
        <v>12.22</v>
      </c>
      <c r="P33" s="875" t="s">
        <v>306</v>
      </c>
      <c r="Q33" s="879">
        <v>12.22</v>
      </c>
      <c r="R33" s="879">
        <v>100</v>
      </c>
      <c r="S33" s="785">
        <v>110</v>
      </c>
      <c r="T33" s="886" t="s">
        <v>1890</v>
      </c>
      <c r="U33" s="886">
        <v>15</v>
      </c>
      <c r="V33" s="886" t="s">
        <v>1891</v>
      </c>
      <c r="W33" s="886" t="s">
        <v>1892</v>
      </c>
      <c r="X33" s="919">
        <v>11</v>
      </c>
      <c r="Y33" s="886" t="s">
        <v>306</v>
      </c>
      <c r="Z33" s="919">
        <v>11</v>
      </c>
      <c r="AA33" s="919">
        <v>200</v>
      </c>
      <c r="AB33" s="785">
        <v>151</v>
      </c>
      <c r="AC33" s="886" t="s">
        <v>1893</v>
      </c>
      <c r="AD33" s="886">
        <v>15</v>
      </c>
      <c r="AE33" s="886" t="s">
        <v>1758</v>
      </c>
      <c r="AF33" s="886" t="s">
        <v>1759</v>
      </c>
      <c r="AG33" s="919">
        <v>8.6999999999999993</v>
      </c>
      <c r="AH33" s="886" t="s">
        <v>2410</v>
      </c>
      <c r="AI33" s="919">
        <v>7.58</v>
      </c>
      <c r="AJ33" s="919">
        <v>4499.3</v>
      </c>
      <c r="AK33" s="785">
        <v>192</v>
      </c>
      <c r="AL33" s="886" t="s">
        <v>1870</v>
      </c>
      <c r="AM33" s="886">
        <v>20</v>
      </c>
      <c r="AN33" s="919" t="s">
        <v>751</v>
      </c>
      <c r="AO33" s="886" t="s">
        <v>752</v>
      </c>
      <c r="AP33" s="919">
        <v>9.4499999999999993</v>
      </c>
      <c r="AQ33" s="886" t="s">
        <v>306</v>
      </c>
      <c r="AR33" s="919">
        <v>9.4499999999999993</v>
      </c>
      <c r="AS33" s="919">
        <v>125</v>
      </c>
      <c r="AT33" s="785">
        <v>233</v>
      </c>
      <c r="AU33" s="886" t="s">
        <v>1871</v>
      </c>
      <c r="AV33" s="886">
        <v>20</v>
      </c>
      <c r="AW33" s="886" t="s">
        <v>1144</v>
      </c>
      <c r="AX33" s="886" t="s">
        <v>1147</v>
      </c>
      <c r="AY33" s="919">
        <v>12.139999999999999</v>
      </c>
      <c r="AZ33" s="886" t="s">
        <v>306</v>
      </c>
      <c r="BA33" s="919">
        <v>12.139999999999999</v>
      </c>
      <c r="BB33" s="919">
        <v>300</v>
      </c>
      <c r="BC33" s="381"/>
      <c r="BD33" s="859"/>
      <c r="BE33" s="859"/>
      <c r="BF33" s="859"/>
      <c r="BG33" s="381"/>
      <c r="BH33" s="381"/>
      <c r="BI33" s="381"/>
      <c r="BJ33" s="601"/>
      <c r="BK33" s="1034"/>
      <c r="BL33" s="380"/>
      <c r="BM33" s="1029"/>
      <c r="BN33" s="1030"/>
      <c r="BO33" s="1029"/>
      <c r="BP33" s="379"/>
      <c r="BQ33" s="379"/>
    </row>
    <row r="34" spans="1:69" s="175" customFormat="1" ht="13.35" customHeight="1">
      <c r="A34" s="264">
        <v>29</v>
      </c>
      <c r="B34" s="847" t="s">
        <v>2651</v>
      </c>
      <c r="C34" s="859">
        <v>5</v>
      </c>
      <c r="D34" s="859" t="s">
        <v>2652</v>
      </c>
      <c r="E34" s="859" t="s">
        <v>2653</v>
      </c>
      <c r="F34" s="703">
        <v>7.85</v>
      </c>
      <c r="G34" s="859" t="s">
        <v>306</v>
      </c>
      <c r="H34" s="703">
        <v>7.85</v>
      </c>
      <c r="I34" s="703">
        <v>1000</v>
      </c>
      <c r="J34" s="237">
        <v>70</v>
      </c>
      <c r="K34" s="847" t="s">
        <v>1896</v>
      </c>
      <c r="L34" s="847">
        <v>15</v>
      </c>
      <c r="M34" s="847" t="s">
        <v>314</v>
      </c>
      <c r="N34" s="847" t="s">
        <v>322</v>
      </c>
      <c r="O34" s="587">
        <v>12.22</v>
      </c>
      <c r="P34" s="847" t="s">
        <v>306</v>
      </c>
      <c r="Q34" s="587">
        <v>12.22</v>
      </c>
      <c r="R34" s="587">
        <v>100</v>
      </c>
      <c r="S34" s="237">
        <v>111</v>
      </c>
      <c r="T34" s="847" t="s">
        <v>1897</v>
      </c>
      <c r="U34" s="860">
        <v>15</v>
      </c>
      <c r="V34" s="847" t="s">
        <v>1084</v>
      </c>
      <c r="W34" s="847" t="s">
        <v>1085</v>
      </c>
      <c r="X34" s="587">
        <v>11.5</v>
      </c>
      <c r="Y34" s="859" t="s">
        <v>306</v>
      </c>
      <c r="Z34" s="587">
        <v>11.5</v>
      </c>
      <c r="AA34" s="587">
        <v>275</v>
      </c>
      <c r="AB34" s="237">
        <v>152</v>
      </c>
      <c r="AC34" s="703" t="s">
        <v>2171</v>
      </c>
      <c r="AD34" s="859">
        <v>15</v>
      </c>
      <c r="AE34" s="859" t="s">
        <v>2172</v>
      </c>
      <c r="AF34" s="859" t="s">
        <v>2173</v>
      </c>
      <c r="AG34" s="703">
        <v>5.65</v>
      </c>
      <c r="AH34" s="859" t="s">
        <v>306</v>
      </c>
      <c r="AI34" s="703">
        <v>5.65</v>
      </c>
      <c r="AJ34" s="703">
        <v>4500</v>
      </c>
      <c r="AK34" s="237">
        <v>193</v>
      </c>
      <c r="AL34" s="859" t="s">
        <v>1878</v>
      </c>
      <c r="AM34" s="859">
        <v>20</v>
      </c>
      <c r="AN34" s="859" t="s">
        <v>753</v>
      </c>
      <c r="AO34" s="859" t="s">
        <v>1190</v>
      </c>
      <c r="AP34" s="703">
        <v>9.57</v>
      </c>
      <c r="AQ34" s="859" t="s">
        <v>306</v>
      </c>
      <c r="AR34" s="703">
        <v>9.57</v>
      </c>
      <c r="AS34" s="703">
        <v>125</v>
      </c>
      <c r="AT34" s="237">
        <v>234</v>
      </c>
      <c r="AU34" s="859" t="s">
        <v>1879</v>
      </c>
      <c r="AV34" s="859">
        <v>20</v>
      </c>
      <c r="AW34" s="859" t="s">
        <v>1149</v>
      </c>
      <c r="AX34" s="859" t="s">
        <v>1150</v>
      </c>
      <c r="AY34" s="703">
        <v>12.139999999999999</v>
      </c>
      <c r="AZ34" s="859" t="s">
        <v>306</v>
      </c>
      <c r="BA34" s="703">
        <v>12.139999999999999</v>
      </c>
      <c r="BB34" s="703">
        <v>350</v>
      </c>
      <c r="BC34" s="381"/>
      <c r="BD34" s="859"/>
      <c r="BE34" s="859"/>
      <c r="BF34" s="859"/>
      <c r="BG34" s="381"/>
      <c r="BH34" s="381"/>
      <c r="BI34" s="381"/>
      <c r="BJ34" s="601"/>
      <c r="BK34" s="1034"/>
      <c r="BL34" s="380"/>
      <c r="BM34" s="1029"/>
      <c r="BN34" s="1030"/>
      <c r="BO34" s="1029"/>
      <c r="BP34" s="379"/>
      <c r="BQ34" s="379"/>
    </row>
    <row r="35" spans="1:69" s="175" customFormat="1" ht="13.35" customHeight="1">
      <c r="A35" s="1033">
        <v>30</v>
      </c>
      <c r="B35" s="941" t="s">
        <v>1925</v>
      </c>
      <c r="C35" s="886">
        <v>10</v>
      </c>
      <c r="D35" s="886" t="s">
        <v>1035</v>
      </c>
      <c r="E35" s="886" t="s">
        <v>510</v>
      </c>
      <c r="F35" s="919">
        <v>11.8</v>
      </c>
      <c r="G35" s="886" t="s">
        <v>306</v>
      </c>
      <c r="H35" s="919">
        <v>11.8</v>
      </c>
      <c r="I35" s="919">
        <v>700</v>
      </c>
      <c r="J35" s="785">
        <v>71</v>
      </c>
      <c r="K35" s="886" t="s">
        <v>1903</v>
      </c>
      <c r="L35" s="886">
        <v>15</v>
      </c>
      <c r="M35" s="886" t="s">
        <v>315</v>
      </c>
      <c r="N35" s="886" t="s">
        <v>323</v>
      </c>
      <c r="O35" s="919">
        <v>12.22</v>
      </c>
      <c r="P35" s="886" t="s">
        <v>306</v>
      </c>
      <c r="Q35" s="919">
        <v>12.22</v>
      </c>
      <c r="R35" s="919">
        <v>100</v>
      </c>
      <c r="S35" s="785">
        <v>112</v>
      </c>
      <c r="T35" s="904" t="s">
        <v>1904</v>
      </c>
      <c r="U35" s="875">
        <v>15</v>
      </c>
      <c r="V35" s="904" t="s">
        <v>1086</v>
      </c>
      <c r="W35" s="904" t="s">
        <v>1087</v>
      </c>
      <c r="X35" s="588">
        <v>11.6</v>
      </c>
      <c r="Y35" s="886" t="s">
        <v>306</v>
      </c>
      <c r="Z35" s="588">
        <v>11.6</v>
      </c>
      <c r="AA35" s="588">
        <v>275</v>
      </c>
      <c r="AB35" s="785">
        <v>153</v>
      </c>
      <c r="AC35" s="886" t="s">
        <v>2433</v>
      </c>
      <c r="AD35" s="886">
        <v>15</v>
      </c>
      <c r="AE35" s="886" t="s">
        <v>2434</v>
      </c>
      <c r="AF35" s="886" t="s">
        <v>2435</v>
      </c>
      <c r="AG35" s="919">
        <v>7.98</v>
      </c>
      <c r="AH35" s="886" t="s">
        <v>2577</v>
      </c>
      <c r="AI35" s="919">
        <v>8.5</v>
      </c>
      <c r="AJ35" s="919">
        <v>4228</v>
      </c>
      <c r="AK35" s="785">
        <v>194</v>
      </c>
      <c r="AL35" s="886" t="s">
        <v>1887</v>
      </c>
      <c r="AM35" s="886">
        <v>20</v>
      </c>
      <c r="AN35" s="886" t="s">
        <v>754</v>
      </c>
      <c r="AO35" s="886" t="s">
        <v>755</v>
      </c>
      <c r="AP35" s="919">
        <v>9.6</v>
      </c>
      <c r="AQ35" s="886" t="s">
        <v>306</v>
      </c>
      <c r="AR35" s="919">
        <v>9.6</v>
      </c>
      <c r="AS35" s="919">
        <v>150</v>
      </c>
      <c r="AT35" s="785">
        <v>235</v>
      </c>
      <c r="AU35" s="886" t="s">
        <v>1888</v>
      </c>
      <c r="AV35" s="886">
        <v>20</v>
      </c>
      <c r="AW35" s="886" t="s">
        <v>1152</v>
      </c>
      <c r="AX35" s="886" t="s">
        <v>1151</v>
      </c>
      <c r="AY35" s="919">
        <v>12.120000000000001</v>
      </c>
      <c r="AZ35" s="886" t="s">
        <v>306</v>
      </c>
      <c r="BA35" s="919">
        <v>12.120000000000001</v>
      </c>
      <c r="BB35" s="919">
        <v>350</v>
      </c>
      <c r="BC35" s="381"/>
      <c r="BD35" s="859"/>
      <c r="BE35" s="859"/>
      <c r="BF35" s="859"/>
      <c r="BG35" s="381"/>
      <c r="BH35" s="381"/>
      <c r="BI35" s="381"/>
      <c r="BJ35" s="278"/>
      <c r="BK35" s="1036"/>
      <c r="BL35" s="380"/>
      <c r="BM35" s="1029"/>
      <c r="BN35" s="1030"/>
      <c r="BO35" s="1029"/>
      <c r="BP35" s="379"/>
      <c r="BQ35" s="379"/>
    </row>
    <row r="36" spans="1:69" s="175" customFormat="1" ht="13.35" customHeight="1">
      <c r="A36" s="264">
        <v>31</v>
      </c>
      <c r="B36" s="859" t="s">
        <v>1931</v>
      </c>
      <c r="C36" s="859">
        <v>10</v>
      </c>
      <c r="D36" s="859" t="s">
        <v>1036</v>
      </c>
      <c r="E36" s="859" t="s">
        <v>319</v>
      </c>
      <c r="F36" s="703">
        <v>11.9</v>
      </c>
      <c r="G36" s="859" t="s">
        <v>306</v>
      </c>
      <c r="H36" s="703">
        <v>11.9</v>
      </c>
      <c r="I36" s="703">
        <v>700</v>
      </c>
      <c r="J36" s="237">
        <v>72</v>
      </c>
      <c r="K36" s="859" t="s">
        <v>1910</v>
      </c>
      <c r="L36" s="859">
        <v>15</v>
      </c>
      <c r="M36" s="859" t="s">
        <v>1103</v>
      </c>
      <c r="N36" s="859" t="s">
        <v>1104</v>
      </c>
      <c r="O36" s="703">
        <v>12.14</v>
      </c>
      <c r="P36" s="859" t="s">
        <v>306</v>
      </c>
      <c r="Q36" s="703">
        <v>12.14</v>
      </c>
      <c r="R36" s="703">
        <v>150</v>
      </c>
      <c r="S36" s="237">
        <v>113</v>
      </c>
      <c r="T36" s="859" t="s">
        <v>1911</v>
      </c>
      <c r="U36" s="859">
        <v>15</v>
      </c>
      <c r="V36" s="1533" t="s">
        <v>1088</v>
      </c>
      <c r="W36" s="859" t="s">
        <v>1089</v>
      </c>
      <c r="X36" s="703">
        <v>11.65</v>
      </c>
      <c r="Y36" s="859" t="s">
        <v>306</v>
      </c>
      <c r="Z36" s="703">
        <v>11.65</v>
      </c>
      <c r="AA36" s="703">
        <v>275</v>
      </c>
      <c r="AB36" s="237">
        <v>154</v>
      </c>
      <c r="AC36" s="859" t="s">
        <v>2477</v>
      </c>
      <c r="AD36" s="859">
        <v>15</v>
      </c>
      <c r="AE36" s="859" t="s">
        <v>2475</v>
      </c>
      <c r="AF36" s="859" t="s">
        <v>2478</v>
      </c>
      <c r="AG36" s="703">
        <v>8.5500000000000007</v>
      </c>
      <c r="AH36" s="859" t="s">
        <v>2655</v>
      </c>
      <c r="AI36" s="703">
        <v>8.6999999999999993</v>
      </c>
      <c r="AJ36" s="703">
        <v>3016.47</v>
      </c>
      <c r="AK36" s="237">
        <v>195</v>
      </c>
      <c r="AL36" s="859" t="s">
        <v>1894</v>
      </c>
      <c r="AM36" s="859">
        <v>20</v>
      </c>
      <c r="AN36" s="859" t="s">
        <v>756</v>
      </c>
      <c r="AO36" s="859" t="s">
        <v>757</v>
      </c>
      <c r="AP36" s="703">
        <v>9.6</v>
      </c>
      <c r="AQ36" s="859" t="s">
        <v>306</v>
      </c>
      <c r="AR36" s="703">
        <v>9.6</v>
      </c>
      <c r="AS36" s="703">
        <v>150</v>
      </c>
      <c r="AT36" s="237">
        <v>236</v>
      </c>
      <c r="AU36" s="847" t="s">
        <v>1895</v>
      </c>
      <c r="AV36" s="847">
        <v>20</v>
      </c>
      <c r="AW36" s="859" t="s">
        <v>1168</v>
      </c>
      <c r="AX36" s="859" t="s">
        <v>1172</v>
      </c>
      <c r="AY36" s="703">
        <v>12.1</v>
      </c>
      <c r="AZ36" s="859" t="s">
        <v>306</v>
      </c>
      <c r="BA36" s="703">
        <v>12.1</v>
      </c>
      <c r="BB36" s="703">
        <v>250</v>
      </c>
      <c r="BC36" s="381"/>
      <c r="BD36" s="859"/>
      <c r="BE36" s="859"/>
      <c r="BF36" s="859"/>
      <c r="BG36" s="381"/>
      <c r="BH36" s="381"/>
      <c r="BI36" s="381"/>
      <c r="BJ36" s="278"/>
      <c r="BK36" s="1036"/>
      <c r="BL36" s="380"/>
      <c r="BM36" s="1029"/>
      <c r="BN36" s="1030"/>
      <c r="BO36" s="1029"/>
      <c r="BP36" s="379"/>
      <c r="BQ36" s="379"/>
    </row>
    <row r="37" spans="1:69" s="175" customFormat="1" ht="13.35" customHeight="1">
      <c r="A37" s="1033">
        <v>32</v>
      </c>
      <c r="B37" s="904" t="s">
        <v>1937</v>
      </c>
      <c r="C37" s="904">
        <v>10</v>
      </c>
      <c r="D37" s="904" t="s">
        <v>1037</v>
      </c>
      <c r="E37" s="904" t="s">
        <v>320</v>
      </c>
      <c r="F37" s="588">
        <v>12</v>
      </c>
      <c r="G37" s="904" t="s">
        <v>306</v>
      </c>
      <c r="H37" s="588">
        <v>12</v>
      </c>
      <c r="I37" s="588">
        <v>700</v>
      </c>
      <c r="J37" s="785">
        <v>73</v>
      </c>
      <c r="K37" s="886" t="s">
        <v>1915</v>
      </c>
      <c r="L37" s="886">
        <v>15</v>
      </c>
      <c r="M37" s="886" t="s">
        <v>316</v>
      </c>
      <c r="N37" s="886" t="s">
        <v>324</v>
      </c>
      <c r="O37" s="919">
        <v>12.14</v>
      </c>
      <c r="P37" s="886" t="s">
        <v>306</v>
      </c>
      <c r="Q37" s="919">
        <v>12.14</v>
      </c>
      <c r="R37" s="919">
        <v>150</v>
      </c>
      <c r="S37" s="785">
        <v>114</v>
      </c>
      <c r="T37" s="886" t="s">
        <v>1916</v>
      </c>
      <c r="U37" s="886">
        <v>15</v>
      </c>
      <c r="V37" s="886" t="s">
        <v>1041</v>
      </c>
      <c r="W37" s="886" t="s">
        <v>1042</v>
      </c>
      <c r="X37" s="919">
        <v>11.7</v>
      </c>
      <c r="Y37" s="886" t="s">
        <v>306</v>
      </c>
      <c r="Z37" s="919">
        <v>11.7</v>
      </c>
      <c r="AA37" s="919">
        <v>500</v>
      </c>
      <c r="AB37" s="785">
        <v>155</v>
      </c>
      <c r="AC37" s="904" t="s">
        <v>1898</v>
      </c>
      <c r="AD37" s="904">
        <v>20</v>
      </c>
      <c r="AE37" s="904" t="s">
        <v>1899</v>
      </c>
      <c r="AF37" s="904" t="s">
        <v>1900</v>
      </c>
      <c r="AG37" s="588">
        <v>15.950000000000001</v>
      </c>
      <c r="AH37" s="904" t="s">
        <v>306</v>
      </c>
      <c r="AI37" s="588">
        <v>15.950000000000001</v>
      </c>
      <c r="AJ37" s="588">
        <v>50</v>
      </c>
      <c r="AK37" s="785">
        <v>196</v>
      </c>
      <c r="AL37" s="886" t="s">
        <v>1901</v>
      </c>
      <c r="AM37" s="886">
        <v>20</v>
      </c>
      <c r="AN37" s="886" t="s">
        <v>758</v>
      </c>
      <c r="AO37" s="886" t="s">
        <v>759</v>
      </c>
      <c r="AP37" s="919">
        <v>9.6300000000000008</v>
      </c>
      <c r="AQ37" s="886" t="s">
        <v>306</v>
      </c>
      <c r="AR37" s="919">
        <v>9.6300000000000008</v>
      </c>
      <c r="AS37" s="919">
        <v>160</v>
      </c>
      <c r="AT37" s="785">
        <v>237</v>
      </c>
      <c r="AU37" s="904" t="s">
        <v>1902</v>
      </c>
      <c r="AV37" s="904">
        <v>20</v>
      </c>
      <c r="AW37" s="886" t="s">
        <v>1170</v>
      </c>
      <c r="AX37" s="886" t="s">
        <v>1173</v>
      </c>
      <c r="AY37" s="919">
        <v>11.89</v>
      </c>
      <c r="AZ37" s="886" t="s">
        <v>306</v>
      </c>
      <c r="BA37" s="588">
        <v>11.89</v>
      </c>
      <c r="BB37" s="782">
        <v>250</v>
      </c>
      <c r="BC37" s="381"/>
      <c r="BD37" s="859"/>
      <c r="BE37" s="859"/>
      <c r="BF37" s="859"/>
      <c r="BG37" s="381"/>
      <c r="BH37" s="381"/>
      <c r="BI37" s="381"/>
      <c r="BJ37" s="278"/>
      <c r="BK37" s="1036"/>
      <c r="BL37" s="380"/>
      <c r="BM37" s="1029"/>
      <c r="BN37" s="1030"/>
      <c r="BO37" s="1029"/>
      <c r="BP37" s="379"/>
      <c r="BQ37" s="379"/>
    </row>
    <row r="38" spans="1:69" s="175" customFormat="1" ht="13.35" customHeight="1">
      <c r="A38" s="237">
        <v>33</v>
      </c>
      <c r="B38" s="847" t="s">
        <v>1945</v>
      </c>
      <c r="C38" s="847">
        <v>10</v>
      </c>
      <c r="D38" s="918" t="s">
        <v>1038</v>
      </c>
      <c r="E38" s="847" t="s">
        <v>1039</v>
      </c>
      <c r="F38" s="587">
        <v>12.1</v>
      </c>
      <c r="G38" s="847" t="s">
        <v>306</v>
      </c>
      <c r="H38" s="587">
        <v>12.1</v>
      </c>
      <c r="I38" s="587">
        <v>1800</v>
      </c>
      <c r="J38" s="237">
        <v>74</v>
      </c>
      <c r="K38" s="859" t="s">
        <v>1920</v>
      </c>
      <c r="L38" s="859">
        <v>15</v>
      </c>
      <c r="M38" s="859" t="s">
        <v>695</v>
      </c>
      <c r="N38" s="859" t="s">
        <v>696</v>
      </c>
      <c r="O38" s="703">
        <v>12.14</v>
      </c>
      <c r="P38" s="859" t="s">
        <v>306</v>
      </c>
      <c r="Q38" s="703">
        <v>12.14</v>
      </c>
      <c r="R38" s="703">
        <v>150</v>
      </c>
      <c r="S38" s="237">
        <v>115</v>
      </c>
      <c r="T38" s="859" t="s">
        <v>1921</v>
      </c>
      <c r="U38" s="859">
        <v>15</v>
      </c>
      <c r="V38" s="859" t="s">
        <v>1043</v>
      </c>
      <c r="W38" s="859" t="s">
        <v>1044</v>
      </c>
      <c r="X38" s="703">
        <v>11.75</v>
      </c>
      <c r="Y38" s="859" t="s">
        <v>306</v>
      </c>
      <c r="Z38" s="703">
        <v>11.75</v>
      </c>
      <c r="AA38" s="703">
        <v>500</v>
      </c>
      <c r="AB38" s="237">
        <v>156</v>
      </c>
      <c r="AC38" s="859" t="s">
        <v>1905</v>
      </c>
      <c r="AD38" s="859">
        <v>20</v>
      </c>
      <c r="AE38" s="859" t="s">
        <v>1906</v>
      </c>
      <c r="AF38" s="859" t="s">
        <v>1907</v>
      </c>
      <c r="AG38" s="703">
        <v>15.440000000000001</v>
      </c>
      <c r="AH38" s="859" t="s">
        <v>306</v>
      </c>
      <c r="AI38" s="703">
        <v>15.440000000000001</v>
      </c>
      <c r="AJ38" s="703">
        <v>50</v>
      </c>
      <c r="AK38" s="237">
        <v>197</v>
      </c>
      <c r="AL38" s="859" t="s">
        <v>1908</v>
      </c>
      <c r="AM38" s="859">
        <v>20</v>
      </c>
      <c r="AN38" s="859" t="s">
        <v>762</v>
      </c>
      <c r="AO38" s="859" t="s">
        <v>763</v>
      </c>
      <c r="AP38" s="703">
        <v>9.65</v>
      </c>
      <c r="AQ38" s="859" t="s">
        <v>306</v>
      </c>
      <c r="AR38" s="703">
        <v>9.65</v>
      </c>
      <c r="AS38" s="703">
        <v>175</v>
      </c>
      <c r="AT38" s="237">
        <v>238</v>
      </c>
      <c r="AU38" s="847" t="s">
        <v>1909</v>
      </c>
      <c r="AV38" s="847">
        <v>20</v>
      </c>
      <c r="AW38" s="859" t="s">
        <v>1174</v>
      </c>
      <c r="AX38" s="859" t="s">
        <v>1176</v>
      </c>
      <c r="AY38" s="703">
        <v>11.98</v>
      </c>
      <c r="AZ38" s="859" t="s">
        <v>306</v>
      </c>
      <c r="BA38" s="587">
        <v>11.98</v>
      </c>
      <c r="BB38" s="850">
        <v>250</v>
      </c>
      <c r="BC38" s="381"/>
      <c r="BD38" s="859"/>
      <c r="BE38" s="859"/>
      <c r="BF38" s="859"/>
      <c r="BG38" s="381"/>
      <c r="BH38" s="381"/>
      <c r="BI38" s="381"/>
      <c r="BJ38" s="278"/>
      <c r="BK38" s="556"/>
      <c r="BL38" s="380"/>
      <c r="BM38" s="1029"/>
      <c r="BN38" s="1030"/>
      <c r="BO38" s="1029"/>
      <c r="BP38" s="379"/>
      <c r="BQ38" s="379"/>
    </row>
    <row r="39" spans="1:69" s="175" customFormat="1" ht="13.35" customHeight="1">
      <c r="A39" s="785">
        <v>34</v>
      </c>
      <c r="B39" s="886" t="s">
        <v>1950</v>
      </c>
      <c r="C39" s="886">
        <v>10</v>
      </c>
      <c r="D39" s="886" t="s">
        <v>1091</v>
      </c>
      <c r="E39" s="886" t="s">
        <v>1092</v>
      </c>
      <c r="F39" s="919">
        <v>12.1</v>
      </c>
      <c r="G39" s="886" t="s">
        <v>306</v>
      </c>
      <c r="H39" s="919">
        <v>12.1</v>
      </c>
      <c r="I39" s="919">
        <v>700</v>
      </c>
      <c r="J39" s="785">
        <v>75</v>
      </c>
      <c r="K39" s="935" t="s">
        <v>1926</v>
      </c>
      <c r="L39" s="904">
        <v>15</v>
      </c>
      <c r="M39" s="904" t="s">
        <v>317</v>
      </c>
      <c r="N39" s="904" t="s">
        <v>2112</v>
      </c>
      <c r="O39" s="782">
        <v>12.14</v>
      </c>
      <c r="P39" s="904" t="s">
        <v>306</v>
      </c>
      <c r="Q39" s="588">
        <v>12.14</v>
      </c>
      <c r="R39" s="588">
        <v>150</v>
      </c>
      <c r="S39" s="785">
        <v>116</v>
      </c>
      <c r="T39" s="886" t="s">
        <v>1927</v>
      </c>
      <c r="U39" s="886">
        <v>15</v>
      </c>
      <c r="V39" s="886" t="s">
        <v>1045</v>
      </c>
      <c r="W39" s="886" t="s">
        <v>1046</v>
      </c>
      <c r="X39" s="919">
        <v>11.8</v>
      </c>
      <c r="Y39" s="886" t="s">
        <v>306</v>
      </c>
      <c r="Z39" s="919">
        <v>11.8</v>
      </c>
      <c r="AA39" s="919">
        <v>500</v>
      </c>
      <c r="AB39" s="785">
        <v>157</v>
      </c>
      <c r="AC39" s="886" t="s">
        <v>1912</v>
      </c>
      <c r="AD39" s="886">
        <v>20</v>
      </c>
      <c r="AE39" s="886" t="s">
        <v>511</v>
      </c>
      <c r="AF39" s="886" t="s">
        <v>514</v>
      </c>
      <c r="AG39" s="919">
        <v>14.23</v>
      </c>
      <c r="AH39" s="886" t="s">
        <v>306</v>
      </c>
      <c r="AI39" s="919">
        <v>14.23</v>
      </c>
      <c r="AJ39" s="919">
        <v>50</v>
      </c>
      <c r="AK39" s="785">
        <v>198</v>
      </c>
      <c r="AL39" s="886" t="s">
        <v>1913</v>
      </c>
      <c r="AM39" s="886">
        <v>20</v>
      </c>
      <c r="AN39" s="886" t="s">
        <v>1338</v>
      </c>
      <c r="AO39" s="886" t="s">
        <v>1331</v>
      </c>
      <c r="AP39" s="919">
        <v>9.65</v>
      </c>
      <c r="AQ39" s="886" t="s">
        <v>306</v>
      </c>
      <c r="AR39" s="919">
        <v>9.65</v>
      </c>
      <c r="AS39" s="919">
        <v>175</v>
      </c>
      <c r="AT39" s="785">
        <v>239</v>
      </c>
      <c r="AU39" s="1007" t="s">
        <v>1914</v>
      </c>
      <c r="AV39" s="1007">
        <v>20</v>
      </c>
      <c r="AW39" s="886" t="s">
        <v>1184</v>
      </c>
      <c r="AX39" s="886" t="s">
        <v>1189</v>
      </c>
      <c r="AY39" s="919">
        <v>11.98</v>
      </c>
      <c r="AZ39" s="886" t="s">
        <v>306</v>
      </c>
      <c r="BA39" s="588">
        <v>11.98</v>
      </c>
      <c r="BB39" s="782">
        <v>250</v>
      </c>
      <c r="BC39" s="381"/>
      <c r="BD39" s="859"/>
      <c r="BE39" s="859"/>
      <c r="BF39" s="859"/>
      <c r="BG39" s="381"/>
      <c r="BH39" s="381"/>
      <c r="BI39" s="381"/>
      <c r="BJ39" s="278"/>
      <c r="BK39" s="556"/>
      <c r="BL39" s="380"/>
      <c r="BM39" s="1035"/>
      <c r="BN39" s="1030"/>
      <c r="BO39" s="1035"/>
      <c r="BP39" s="379"/>
      <c r="BQ39" s="379"/>
    </row>
    <row r="40" spans="1:69" s="175" customFormat="1" ht="13.35" customHeight="1">
      <c r="A40" s="237">
        <v>35</v>
      </c>
      <c r="B40" s="859" t="s">
        <v>1959</v>
      </c>
      <c r="C40" s="859">
        <v>10</v>
      </c>
      <c r="D40" s="859" t="s">
        <v>1114</v>
      </c>
      <c r="E40" s="859" t="s">
        <v>1115</v>
      </c>
      <c r="F40" s="703">
        <v>11.22</v>
      </c>
      <c r="G40" s="859" t="s">
        <v>1960</v>
      </c>
      <c r="H40" s="703">
        <v>12.22</v>
      </c>
      <c r="I40" s="703">
        <v>1200</v>
      </c>
      <c r="J40" s="237">
        <v>76</v>
      </c>
      <c r="K40" s="847" t="s">
        <v>1932</v>
      </c>
      <c r="L40" s="847">
        <v>15</v>
      </c>
      <c r="M40" s="847" t="s">
        <v>318</v>
      </c>
      <c r="N40" s="847" t="s">
        <v>325</v>
      </c>
      <c r="O40" s="850">
        <v>12.14</v>
      </c>
      <c r="P40" s="847" t="s">
        <v>306</v>
      </c>
      <c r="Q40" s="587">
        <v>12.14</v>
      </c>
      <c r="R40" s="587">
        <v>150</v>
      </c>
      <c r="S40" s="237">
        <v>117</v>
      </c>
      <c r="T40" s="859" t="s">
        <v>1933</v>
      </c>
      <c r="U40" s="859">
        <v>15</v>
      </c>
      <c r="V40" s="859" t="s">
        <v>1047</v>
      </c>
      <c r="W40" s="859" t="s">
        <v>1048</v>
      </c>
      <c r="X40" s="703">
        <v>11.85</v>
      </c>
      <c r="Y40" s="859" t="s">
        <v>306</v>
      </c>
      <c r="Z40" s="703">
        <v>11.85</v>
      </c>
      <c r="AA40" s="703">
        <v>350</v>
      </c>
      <c r="AB40" s="237">
        <v>158</v>
      </c>
      <c r="AC40" s="859" t="s">
        <v>1917</v>
      </c>
      <c r="AD40" s="859">
        <v>20</v>
      </c>
      <c r="AE40" s="859" t="s">
        <v>512</v>
      </c>
      <c r="AF40" s="859" t="s">
        <v>515</v>
      </c>
      <c r="AG40" s="703">
        <v>13.88</v>
      </c>
      <c r="AH40" s="859" t="s">
        <v>306</v>
      </c>
      <c r="AI40" s="703">
        <v>13.88</v>
      </c>
      <c r="AJ40" s="703">
        <v>50</v>
      </c>
      <c r="AK40" s="237">
        <v>199</v>
      </c>
      <c r="AL40" s="859" t="s">
        <v>1918</v>
      </c>
      <c r="AM40" s="859">
        <v>20</v>
      </c>
      <c r="AN40" s="703" t="s">
        <v>1339</v>
      </c>
      <c r="AO40" s="859" t="s">
        <v>1336</v>
      </c>
      <c r="AP40" s="703">
        <v>9.65</v>
      </c>
      <c r="AQ40" s="859" t="s">
        <v>306</v>
      </c>
      <c r="AR40" s="703">
        <v>9.65</v>
      </c>
      <c r="AS40" s="703">
        <v>185</v>
      </c>
      <c r="AT40" s="237">
        <v>240</v>
      </c>
      <c r="AU40" s="847" t="s">
        <v>1919</v>
      </c>
      <c r="AV40" s="847">
        <v>20</v>
      </c>
      <c r="AW40" s="859" t="s">
        <v>1186</v>
      </c>
      <c r="AX40" s="859" t="s">
        <v>1188</v>
      </c>
      <c r="AY40" s="703">
        <v>11.98</v>
      </c>
      <c r="AZ40" s="859" t="s">
        <v>1851</v>
      </c>
      <c r="BA40" s="587">
        <v>11.97</v>
      </c>
      <c r="BB40" s="850">
        <v>680</v>
      </c>
      <c r="BK40" s="263"/>
      <c r="BL40" s="381"/>
      <c r="BM40" s="1035"/>
      <c r="BN40" s="1030"/>
      <c r="BO40" s="1035"/>
      <c r="BP40" s="379"/>
      <c r="BQ40" s="379"/>
    </row>
    <row r="41" spans="1:69" s="175" customFormat="1" ht="13.35" customHeight="1">
      <c r="A41" s="785">
        <v>36</v>
      </c>
      <c r="B41" s="886" t="s">
        <v>1968</v>
      </c>
      <c r="C41" s="886">
        <v>10</v>
      </c>
      <c r="D41" s="886" t="s">
        <v>1126</v>
      </c>
      <c r="E41" s="886" t="s">
        <v>1127</v>
      </c>
      <c r="F41" s="919">
        <v>12.16</v>
      </c>
      <c r="G41" s="886" t="s">
        <v>1969</v>
      </c>
      <c r="H41" s="919">
        <v>12.1</v>
      </c>
      <c r="I41" s="919">
        <v>1400</v>
      </c>
      <c r="J41" s="785">
        <v>77</v>
      </c>
      <c r="K41" s="886" t="s">
        <v>1938</v>
      </c>
      <c r="L41" s="886">
        <v>15</v>
      </c>
      <c r="M41" s="886" t="s">
        <v>1939</v>
      </c>
      <c r="N41" s="886" t="s">
        <v>1940</v>
      </c>
      <c r="O41" s="919">
        <v>12.14</v>
      </c>
      <c r="P41" s="886" t="s">
        <v>306</v>
      </c>
      <c r="Q41" s="919">
        <v>12.14</v>
      </c>
      <c r="R41" s="919">
        <v>150</v>
      </c>
      <c r="S41" s="785">
        <v>118</v>
      </c>
      <c r="T41" s="919" t="s">
        <v>1941</v>
      </c>
      <c r="U41" s="886">
        <v>15</v>
      </c>
      <c r="V41" s="886" t="s">
        <v>1049</v>
      </c>
      <c r="W41" s="886" t="s">
        <v>1050</v>
      </c>
      <c r="X41" s="919">
        <v>11.88</v>
      </c>
      <c r="Y41" s="886" t="s">
        <v>306</v>
      </c>
      <c r="Z41" s="919">
        <v>11.88</v>
      </c>
      <c r="AA41" s="919">
        <v>350</v>
      </c>
      <c r="AB41" s="785">
        <v>159</v>
      </c>
      <c r="AC41" s="886" t="s">
        <v>1922</v>
      </c>
      <c r="AD41" s="886">
        <v>20</v>
      </c>
      <c r="AE41" s="919" t="s">
        <v>513</v>
      </c>
      <c r="AF41" s="886" t="s">
        <v>516</v>
      </c>
      <c r="AG41" s="919">
        <v>13.489999999999998</v>
      </c>
      <c r="AH41" s="886" t="s">
        <v>306</v>
      </c>
      <c r="AI41" s="919">
        <v>13.489999999999998</v>
      </c>
      <c r="AJ41" s="919">
        <v>50</v>
      </c>
      <c r="AK41" s="785">
        <v>200</v>
      </c>
      <c r="AL41" s="886" t="s">
        <v>1923</v>
      </c>
      <c r="AM41" s="886">
        <v>20</v>
      </c>
      <c r="AN41" s="886" t="s">
        <v>1340</v>
      </c>
      <c r="AO41" s="886" t="s">
        <v>1337</v>
      </c>
      <c r="AP41" s="919">
        <v>10</v>
      </c>
      <c r="AQ41" s="886" t="s">
        <v>306</v>
      </c>
      <c r="AR41" s="919">
        <v>10</v>
      </c>
      <c r="AS41" s="919">
        <v>150</v>
      </c>
      <c r="AT41" s="785">
        <v>241</v>
      </c>
      <c r="AU41" s="904" t="s">
        <v>1924</v>
      </c>
      <c r="AV41" s="904">
        <v>20</v>
      </c>
      <c r="AW41" s="886" t="s">
        <v>1301</v>
      </c>
      <c r="AX41" s="886" t="s">
        <v>1302</v>
      </c>
      <c r="AY41" s="919">
        <v>10.36</v>
      </c>
      <c r="AZ41" s="886" t="s">
        <v>1601</v>
      </c>
      <c r="BA41" s="588">
        <v>8.09</v>
      </c>
      <c r="BB41" s="782">
        <v>2600</v>
      </c>
      <c r="BC41" s="9"/>
      <c r="BD41" s="9"/>
      <c r="BE41" s="9"/>
      <c r="BF41" s="9"/>
      <c r="BG41" s="9"/>
      <c r="BH41" s="9"/>
      <c r="BI41" s="9"/>
      <c r="BK41" s="263"/>
      <c r="BL41" s="381"/>
      <c r="BM41" s="1035"/>
      <c r="BN41" s="1030"/>
      <c r="BO41" s="1035"/>
      <c r="BP41" s="379"/>
      <c r="BQ41" s="379"/>
    </row>
    <row r="42" spans="1:69" s="175" customFormat="1" ht="13.35" customHeight="1">
      <c r="A42" s="237">
        <v>37</v>
      </c>
      <c r="B42" s="859" t="s">
        <v>1971</v>
      </c>
      <c r="C42" s="859">
        <v>10</v>
      </c>
      <c r="D42" s="703" t="s">
        <v>1139</v>
      </c>
      <c r="E42" s="703" t="s">
        <v>1140</v>
      </c>
      <c r="F42" s="703">
        <v>11.75</v>
      </c>
      <c r="G42" s="859" t="s">
        <v>1972</v>
      </c>
      <c r="H42" s="703">
        <v>11.67</v>
      </c>
      <c r="I42" s="703">
        <v>1450</v>
      </c>
      <c r="J42" s="237">
        <v>78</v>
      </c>
      <c r="K42" s="859" t="s">
        <v>1946</v>
      </c>
      <c r="L42" s="859">
        <v>15</v>
      </c>
      <c r="M42" s="859" t="s">
        <v>697</v>
      </c>
      <c r="N42" s="859" t="s">
        <v>698</v>
      </c>
      <c r="O42" s="703">
        <v>12.14</v>
      </c>
      <c r="P42" s="859" t="s">
        <v>306</v>
      </c>
      <c r="Q42" s="703">
        <v>12.14</v>
      </c>
      <c r="R42" s="703">
        <v>150</v>
      </c>
      <c r="S42" s="237">
        <v>119</v>
      </c>
      <c r="T42" s="703" t="s">
        <v>2578</v>
      </c>
      <c r="U42" s="859">
        <v>15</v>
      </c>
      <c r="V42" s="859" t="s">
        <v>2579</v>
      </c>
      <c r="W42" s="859" t="s">
        <v>2580</v>
      </c>
      <c r="X42" s="703">
        <v>11.93</v>
      </c>
      <c r="Y42" s="859" t="s">
        <v>306</v>
      </c>
      <c r="Z42" s="703">
        <v>11.93</v>
      </c>
      <c r="AA42" s="703">
        <v>100</v>
      </c>
      <c r="AB42" s="237">
        <v>160</v>
      </c>
      <c r="AC42" s="859" t="s">
        <v>1928</v>
      </c>
      <c r="AD42" s="859">
        <v>20</v>
      </c>
      <c r="AE42" s="703" t="s">
        <v>2113</v>
      </c>
      <c r="AF42" s="859" t="s">
        <v>2114</v>
      </c>
      <c r="AG42" s="703">
        <v>13.29</v>
      </c>
      <c r="AH42" s="859" t="s">
        <v>306</v>
      </c>
      <c r="AI42" s="703">
        <v>13.29</v>
      </c>
      <c r="AJ42" s="703">
        <v>50</v>
      </c>
      <c r="AK42" s="237">
        <v>201</v>
      </c>
      <c r="AL42" s="859" t="s">
        <v>1929</v>
      </c>
      <c r="AM42" s="859">
        <v>20</v>
      </c>
      <c r="AN42" s="859" t="s">
        <v>1349</v>
      </c>
      <c r="AO42" s="859" t="s">
        <v>1341</v>
      </c>
      <c r="AP42" s="703">
        <v>10.25</v>
      </c>
      <c r="AQ42" s="859" t="s">
        <v>306</v>
      </c>
      <c r="AR42" s="703">
        <v>10.25</v>
      </c>
      <c r="AS42" s="703">
        <v>150</v>
      </c>
      <c r="AT42" s="237">
        <v>242</v>
      </c>
      <c r="AU42" s="847" t="s">
        <v>1930</v>
      </c>
      <c r="AV42" s="847">
        <v>20</v>
      </c>
      <c r="AW42" s="859" t="s">
        <v>1308</v>
      </c>
      <c r="AX42" s="859" t="s">
        <v>1309</v>
      </c>
      <c r="AY42" s="703">
        <v>8.6999999999999993</v>
      </c>
      <c r="AZ42" s="859" t="s">
        <v>1711</v>
      </c>
      <c r="BA42" s="587">
        <v>9.43</v>
      </c>
      <c r="BB42" s="850">
        <v>3950</v>
      </c>
      <c r="BC42" s="9"/>
      <c r="BD42" s="9"/>
      <c r="BE42" s="9"/>
      <c r="BF42" s="9"/>
      <c r="BG42" s="9"/>
      <c r="BH42" s="9"/>
      <c r="BI42" s="9"/>
      <c r="BK42" s="263"/>
      <c r="BL42" s="381"/>
      <c r="BM42" s="1035"/>
      <c r="BN42" s="1030"/>
      <c r="BO42" s="1035"/>
      <c r="BP42" s="379"/>
      <c r="BQ42" s="379"/>
    </row>
    <row r="43" spans="1:69" s="175" customFormat="1" ht="13.35" customHeight="1">
      <c r="A43" s="785">
        <v>38</v>
      </c>
      <c r="B43" s="886" t="s">
        <v>2223</v>
      </c>
      <c r="C43" s="886">
        <v>10</v>
      </c>
      <c r="D43" s="886" t="s">
        <v>2224</v>
      </c>
      <c r="E43" s="886" t="s">
        <v>2225</v>
      </c>
      <c r="F43" s="919">
        <v>11.59</v>
      </c>
      <c r="G43" s="886" t="s">
        <v>306</v>
      </c>
      <c r="H43" s="919">
        <v>11.59</v>
      </c>
      <c r="I43" s="919">
        <v>1600</v>
      </c>
      <c r="J43" s="785">
        <v>79</v>
      </c>
      <c r="K43" s="886" t="s">
        <v>1951</v>
      </c>
      <c r="L43" s="886">
        <v>15</v>
      </c>
      <c r="M43" s="886" t="s">
        <v>699</v>
      </c>
      <c r="N43" s="886" t="s">
        <v>700</v>
      </c>
      <c r="O43" s="919">
        <v>12.14</v>
      </c>
      <c r="P43" s="886" t="s">
        <v>306</v>
      </c>
      <c r="Q43" s="919">
        <v>12.14</v>
      </c>
      <c r="R43" s="919">
        <v>150</v>
      </c>
      <c r="S43" s="785">
        <v>120</v>
      </c>
      <c r="T43" s="904" t="s">
        <v>1952</v>
      </c>
      <c r="U43" s="904">
        <v>15</v>
      </c>
      <c r="V43" s="904" t="s">
        <v>1051</v>
      </c>
      <c r="W43" s="904" t="s">
        <v>1052</v>
      </c>
      <c r="X43" s="588">
        <v>12</v>
      </c>
      <c r="Y43" s="904" t="s">
        <v>306</v>
      </c>
      <c r="Z43" s="588">
        <v>12</v>
      </c>
      <c r="AA43" s="588">
        <v>100</v>
      </c>
      <c r="AB43" s="322">
        <v>161</v>
      </c>
      <c r="AC43" s="886" t="s">
        <v>1934</v>
      </c>
      <c r="AD43" s="886">
        <v>20</v>
      </c>
      <c r="AE43" s="919" t="s">
        <v>31</v>
      </c>
      <c r="AF43" s="886" t="s">
        <v>43</v>
      </c>
      <c r="AG43" s="919">
        <v>13.19</v>
      </c>
      <c r="AH43" s="886" t="s">
        <v>306</v>
      </c>
      <c r="AI43" s="919">
        <v>13.19</v>
      </c>
      <c r="AJ43" s="919">
        <v>50</v>
      </c>
      <c r="AK43" s="785">
        <v>202</v>
      </c>
      <c r="AL43" s="886" t="s">
        <v>1935</v>
      </c>
      <c r="AM43" s="886">
        <v>20</v>
      </c>
      <c r="AN43" s="886" t="s">
        <v>1350</v>
      </c>
      <c r="AO43" s="886" t="s">
        <v>1347</v>
      </c>
      <c r="AP43" s="919">
        <v>10.85</v>
      </c>
      <c r="AQ43" s="886" t="s">
        <v>306</v>
      </c>
      <c r="AR43" s="919">
        <v>10.85</v>
      </c>
      <c r="AS43" s="919">
        <v>150</v>
      </c>
      <c r="AT43" s="785">
        <v>243</v>
      </c>
      <c r="AU43" s="904" t="s">
        <v>1936</v>
      </c>
      <c r="AV43" s="904">
        <v>20</v>
      </c>
      <c r="AW43" s="886" t="s">
        <v>1328</v>
      </c>
      <c r="AX43" s="886" t="s">
        <v>1329</v>
      </c>
      <c r="AY43" s="919">
        <v>8.24</v>
      </c>
      <c r="AZ43" s="886" t="s">
        <v>1628</v>
      </c>
      <c r="BA43" s="919">
        <v>7.97</v>
      </c>
      <c r="BB43" s="782">
        <v>2850</v>
      </c>
      <c r="BC43" s="68"/>
      <c r="BD43" s="68"/>
      <c r="BE43" s="68"/>
      <c r="BF43" s="68"/>
      <c r="BG43" s="68"/>
      <c r="BH43" s="68"/>
      <c r="BI43" s="68"/>
      <c r="BK43" s="263"/>
      <c r="BL43" s="381"/>
      <c r="BM43" s="1035"/>
      <c r="BN43" s="1030"/>
      <c r="BO43" s="1035"/>
      <c r="BP43" s="859"/>
      <c r="BQ43" s="859"/>
    </row>
    <row r="44" spans="1:69" s="175" customFormat="1" ht="13.35" customHeight="1">
      <c r="A44" s="237">
        <v>39</v>
      </c>
      <c r="B44" s="859" t="s">
        <v>2188</v>
      </c>
      <c r="C44" s="859">
        <v>10</v>
      </c>
      <c r="D44" s="859" t="s">
        <v>2189</v>
      </c>
      <c r="E44" s="859" t="s">
        <v>2190</v>
      </c>
      <c r="F44" s="703">
        <v>10.92</v>
      </c>
      <c r="G44" s="859" t="s">
        <v>306</v>
      </c>
      <c r="H44" s="703">
        <v>10.92</v>
      </c>
      <c r="I44" s="703">
        <v>1840</v>
      </c>
      <c r="J44" s="237">
        <v>80</v>
      </c>
      <c r="K44" s="859" t="s">
        <v>1961</v>
      </c>
      <c r="L44" s="859">
        <v>15</v>
      </c>
      <c r="M44" s="859" t="s">
        <v>701</v>
      </c>
      <c r="N44" s="859" t="s">
        <v>702</v>
      </c>
      <c r="O44" s="703">
        <v>12.14</v>
      </c>
      <c r="P44" s="859" t="s">
        <v>306</v>
      </c>
      <c r="Q44" s="703">
        <v>12.14</v>
      </c>
      <c r="R44" s="703">
        <v>150</v>
      </c>
      <c r="S44" s="237">
        <v>121</v>
      </c>
      <c r="T44" s="703" t="s">
        <v>1962</v>
      </c>
      <c r="U44" s="859">
        <v>15</v>
      </c>
      <c r="V44" s="859" t="s">
        <v>1053</v>
      </c>
      <c r="W44" s="859" t="s">
        <v>1054</v>
      </c>
      <c r="X44" s="703">
        <v>12.1</v>
      </c>
      <c r="Y44" s="859" t="s">
        <v>306</v>
      </c>
      <c r="Z44" s="703">
        <v>12.1</v>
      </c>
      <c r="AA44" s="703">
        <v>100</v>
      </c>
      <c r="AB44" s="280">
        <v>162</v>
      </c>
      <c r="AC44" s="859" t="s">
        <v>1942</v>
      </c>
      <c r="AD44" s="859">
        <v>20</v>
      </c>
      <c r="AE44" s="703" t="s">
        <v>32</v>
      </c>
      <c r="AF44" s="859" t="s">
        <v>44</v>
      </c>
      <c r="AG44" s="703">
        <v>13.139999999999999</v>
      </c>
      <c r="AH44" s="859" t="s">
        <v>306</v>
      </c>
      <c r="AI44" s="703">
        <v>13.139999999999999</v>
      </c>
      <c r="AJ44" s="703">
        <v>50</v>
      </c>
      <c r="AK44" s="237">
        <v>203</v>
      </c>
      <c r="AL44" s="859" t="s">
        <v>1943</v>
      </c>
      <c r="AM44" s="859">
        <v>20</v>
      </c>
      <c r="AN44" s="859" t="s">
        <v>1348</v>
      </c>
      <c r="AO44" s="859" t="s">
        <v>1351</v>
      </c>
      <c r="AP44" s="703">
        <v>11.5</v>
      </c>
      <c r="AQ44" s="859" t="s">
        <v>306</v>
      </c>
      <c r="AR44" s="703">
        <v>11.5</v>
      </c>
      <c r="AS44" s="703">
        <v>175</v>
      </c>
      <c r="AT44" s="237">
        <v>244</v>
      </c>
      <c r="AU44" s="1023" t="s">
        <v>1944</v>
      </c>
      <c r="AV44" s="1023">
        <v>20</v>
      </c>
      <c r="AW44" s="859" t="s">
        <v>1675</v>
      </c>
      <c r="AX44" s="859" t="s">
        <v>1677</v>
      </c>
      <c r="AY44" s="703">
        <v>8.24</v>
      </c>
      <c r="AZ44" s="859" t="s">
        <v>1688</v>
      </c>
      <c r="BA44" s="703">
        <v>8.68</v>
      </c>
      <c r="BB44" s="850">
        <v>3000</v>
      </c>
      <c r="BC44" s="68"/>
      <c r="BD44" s="68"/>
      <c r="BE44" s="68"/>
      <c r="BF44" s="68"/>
      <c r="BG44" s="68"/>
      <c r="BH44" s="68"/>
      <c r="BI44" s="68"/>
      <c r="BK44" s="263"/>
      <c r="BL44" s="381"/>
      <c r="BM44" s="1035"/>
      <c r="BN44" s="1030"/>
      <c r="BO44" s="1035"/>
      <c r="BP44" s="859"/>
      <c r="BQ44" s="859"/>
    </row>
    <row r="45" spans="1:69" s="175" customFormat="1" ht="13.35" customHeight="1" thickBot="1">
      <c r="A45" s="677">
        <v>40</v>
      </c>
      <c r="B45" s="1026" t="s">
        <v>1991</v>
      </c>
      <c r="C45" s="1026">
        <v>10</v>
      </c>
      <c r="D45" s="1027" t="s">
        <v>1256</v>
      </c>
      <c r="E45" s="1027" t="s">
        <v>1257</v>
      </c>
      <c r="F45" s="1027">
        <v>10.72</v>
      </c>
      <c r="G45" s="1026" t="s">
        <v>1587</v>
      </c>
      <c r="H45" s="1027">
        <v>6.84</v>
      </c>
      <c r="I45" s="1027">
        <v>2800</v>
      </c>
      <c r="J45" s="873">
        <v>81</v>
      </c>
      <c r="K45" s="1026" t="s">
        <v>2191</v>
      </c>
      <c r="L45" s="1026">
        <v>15</v>
      </c>
      <c r="M45" s="1026" t="s">
        <v>2192</v>
      </c>
      <c r="N45" s="1026" t="s">
        <v>2193</v>
      </c>
      <c r="O45" s="1027">
        <v>12</v>
      </c>
      <c r="P45" s="1026" t="s">
        <v>306</v>
      </c>
      <c r="Q45" s="1027">
        <v>12</v>
      </c>
      <c r="R45" s="1027">
        <v>150</v>
      </c>
      <c r="S45" s="677">
        <v>122</v>
      </c>
      <c r="T45" s="1027" t="s">
        <v>2197</v>
      </c>
      <c r="U45" s="1026">
        <v>15</v>
      </c>
      <c r="V45" s="1026" t="s">
        <v>2198</v>
      </c>
      <c r="W45" s="1026" t="s">
        <v>2199</v>
      </c>
      <c r="X45" s="1027">
        <v>12.2</v>
      </c>
      <c r="Y45" s="1026" t="s">
        <v>306</v>
      </c>
      <c r="Z45" s="1027">
        <v>12.2</v>
      </c>
      <c r="AA45" s="1027">
        <v>100</v>
      </c>
      <c r="AB45" s="873">
        <v>163</v>
      </c>
      <c r="AC45" s="1026" t="s">
        <v>1947</v>
      </c>
      <c r="AD45" s="1026">
        <v>20</v>
      </c>
      <c r="AE45" s="1027" t="s">
        <v>33</v>
      </c>
      <c r="AF45" s="1026" t="s">
        <v>45</v>
      </c>
      <c r="AG45" s="1027">
        <v>13.139999999999999</v>
      </c>
      <c r="AH45" s="1026" t="s">
        <v>306</v>
      </c>
      <c r="AI45" s="1027">
        <v>13.139999999999999</v>
      </c>
      <c r="AJ45" s="1027">
        <v>50</v>
      </c>
      <c r="AK45" s="677">
        <v>204</v>
      </c>
      <c r="AL45" s="1026" t="s">
        <v>1948</v>
      </c>
      <c r="AM45" s="1026">
        <v>20</v>
      </c>
      <c r="AN45" s="1026" t="s">
        <v>1055</v>
      </c>
      <c r="AO45" s="1026" t="s">
        <v>1056</v>
      </c>
      <c r="AP45" s="1027">
        <v>11.5</v>
      </c>
      <c r="AQ45" s="1026" t="s">
        <v>306</v>
      </c>
      <c r="AR45" s="1027">
        <v>11.5</v>
      </c>
      <c r="AS45" s="1027">
        <v>175</v>
      </c>
      <c r="AT45" s="677">
        <v>245</v>
      </c>
      <c r="AU45" s="1037" t="s">
        <v>1949</v>
      </c>
      <c r="AV45" s="1037">
        <v>20</v>
      </c>
      <c r="AW45" s="1026" t="s">
        <v>1693</v>
      </c>
      <c r="AX45" s="1026" t="s">
        <v>1694</v>
      </c>
      <c r="AY45" s="1027">
        <v>9.2899999999999991</v>
      </c>
      <c r="AZ45" s="1026" t="s">
        <v>1877</v>
      </c>
      <c r="BA45" s="1027">
        <v>8.77</v>
      </c>
      <c r="BB45" s="1417">
        <v>3650</v>
      </c>
      <c r="BC45" s="177"/>
      <c r="BD45" s="177"/>
      <c r="BE45" s="177"/>
      <c r="BF45" s="177"/>
      <c r="BG45" s="177"/>
      <c r="BH45" s="177"/>
      <c r="BI45" s="177"/>
      <c r="BL45" s="381"/>
      <c r="BM45" s="1035"/>
      <c r="BN45" s="1030"/>
      <c r="BO45" s="1035"/>
      <c r="BP45" s="379"/>
      <c r="BQ45" s="379"/>
    </row>
    <row r="46" spans="1:69" s="175" customFormat="1" ht="12.95" customHeight="1">
      <c r="A46" s="940" t="s">
        <v>30</v>
      </c>
      <c r="B46" s="601" t="s">
        <v>2078</v>
      </c>
      <c r="C46" s="8"/>
      <c r="D46" s="8"/>
      <c r="E46" s="8"/>
      <c r="J46" s="1172" t="s">
        <v>16</v>
      </c>
      <c r="K46" s="9" t="s">
        <v>1376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2"/>
      <c r="BK46" s="279"/>
      <c r="BM46" s="29"/>
      <c r="BN46" s="30"/>
      <c r="BO46" s="29"/>
      <c r="BQ46" s="29"/>
    </row>
    <row r="47" spans="1:69" s="9" customFormat="1" ht="12.95" customHeight="1">
      <c r="A47" s="940"/>
      <c r="B47" s="601" t="s">
        <v>2656</v>
      </c>
      <c r="C47" s="8"/>
      <c r="D47" s="8"/>
      <c r="E47" s="8"/>
      <c r="F47" s="40"/>
      <c r="G47" s="1038"/>
      <c r="H47" s="1038"/>
      <c r="I47" s="9" t="s">
        <v>2307</v>
      </c>
      <c r="J47" s="175"/>
      <c r="K47" s="1172"/>
      <c r="Q47" s="57"/>
      <c r="R47" s="57"/>
      <c r="T47" s="859"/>
      <c r="U47" s="859"/>
      <c r="V47" s="859"/>
      <c r="W47" s="859"/>
      <c r="X47" s="703"/>
      <c r="Y47" s="859"/>
      <c r="Z47" s="703"/>
      <c r="AA47" s="703"/>
      <c r="BC47" s="177"/>
      <c r="BD47" s="177"/>
      <c r="BE47" s="177"/>
      <c r="BF47" s="177"/>
      <c r="BG47" s="177"/>
      <c r="BH47" s="177"/>
      <c r="BI47" s="177"/>
      <c r="BJ47" s="282"/>
      <c r="BK47" s="279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2103</v>
      </c>
      <c r="C48" s="44"/>
      <c r="D48" s="44"/>
      <c r="E48" s="68"/>
      <c r="F48" s="40"/>
      <c r="G48" s="1038"/>
      <c r="H48" s="1038"/>
      <c r="J48" s="175"/>
      <c r="K48" s="1039"/>
      <c r="Q48" s="1056"/>
      <c r="R48" s="1056"/>
      <c r="T48" s="859"/>
      <c r="U48" s="859"/>
      <c r="V48" s="859"/>
      <c r="W48" s="859"/>
      <c r="X48" s="703"/>
      <c r="Y48" s="859"/>
      <c r="Z48" s="703"/>
      <c r="AA48" s="703"/>
      <c r="AH48" s="167"/>
      <c r="AJ48" s="171"/>
      <c r="BC48" s="177"/>
      <c r="BD48" s="177"/>
      <c r="BE48" s="177"/>
      <c r="BF48" s="177"/>
      <c r="BG48" s="177"/>
      <c r="BH48" s="177"/>
      <c r="BI48" s="177"/>
      <c r="BJ48" s="282"/>
      <c r="BK48" s="279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90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82"/>
      <c r="BK49" s="279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7"/>
      <c r="C50" s="859"/>
      <c r="D50" s="859"/>
      <c r="E50" s="859"/>
      <c r="F50" s="703"/>
      <c r="G50" s="859"/>
      <c r="H50" s="703"/>
      <c r="I50" s="703"/>
      <c r="J50" s="188"/>
      <c r="T50" s="188"/>
      <c r="U50" s="188"/>
      <c r="V50" s="188"/>
      <c r="W50" s="188"/>
      <c r="X50" s="188"/>
      <c r="Y50" s="188"/>
      <c r="Z50" s="188"/>
      <c r="AA50" s="188"/>
      <c r="AR50" s="177"/>
      <c r="AS50" s="290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82"/>
      <c r="BK50" s="279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9"/>
      <c r="C51" s="859"/>
      <c r="D51" s="859"/>
      <c r="E51" s="859"/>
      <c r="F51" s="703"/>
      <c r="G51" s="859"/>
      <c r="H51" s="703"/>
      <c r="I51" s="703"/>
      <c r="J51" s="287"/>
      <c r="K51" s="188"/>
      <c r="L51" s="188"/>
      <c r="M51" s="188"/>
      <c r="N51" s="188"/>
      <c r="O51" s="188"/>
      <c r="P51" s="188"/>
      <c r="T51" s="859"/>
      <c r="U51" s="859"/>
      <c r="V51" s="859"/>
      <c r="W51" s="859"/>
      <c r="X51" s="703"/>
      <c r="Y51" s="859"/>
      <c r="Z51" s="703"/>
      <c r="AA51" s="703"/>
      <c r="AR51" s="177"/>
      <c r="AS51" s="290"/>
      <c r="AW51" s="177"/>
      <c r="AX51" s="177"/>
      <c r="AY51" s="177"/>
      <c r="AZ51" s="177"/>
      <c r="BA51" s="177"/>
      <c r="BB51" s="290"/>
      <c r="BC51" s="177"/>
      <c r="BD51" s="177"/>
      <c r="BE51" s="177"/>
      <c r="BF51" s="177"/>
      <c r="BG51" s="177"/>
      <c r="BH51" s="177"/>
      <c r="BI51" s="177"/>
      <c r="BJ51" s="264"/>
      <c r="BK51" s="279"/>
      <c r="BL51" s="175"/>
      <c r="BM51" s="175"/>
      <c r="BN51" s="175"/>
      <c r="BO51" s="175"/>
      <c r="BP51" s="175"/>
      <c r="BQ51" s="175"/>
    </row>
    <row r="52" spans="2:69" ht="13.5" customHeight="1">
      <c r="BJ52" s="264"/>
      <c r="BK52" s="279"/>
      <c r="BL52" s="1438"/>
      <c r="BM52" s="237"/>
      <c r="BN52" s="237"/>
      <c r="BO52" s="237"/>
      <c r="BP52" s="276"/>
      <c r="BQ52" s="264"/>
    </row>
    <row r="53" spans="2:69" ht="12" customHeight="1">
      <c r="BJ53" s="264"/>
      <c r="BK53" s="279"/>
      <c r="BL53" s="1438"/>
      <c r="BM53" s="241"/>
      <c r="BN53" s="29"/>
      <c r="BO53" s="241"/>
      <c r="BP53" s="271"/>
      <c r="BQ53" s="264"/>
    </row>
    <row r="54" spans="2:69" ht="12.75" customHeight="1">
      <c r="BJ54" s="264"/>
      <c r="BK54" s="279"/>
      <c r="BL54" s="1438"/>
      <c r="BM54" s="286"/>
      <c r="BN54" s="264"/>
      <c r="BO54" s="286"/>
      <c r="BP54" s="271"/>
      <c r="BQ54" s="264"/>
    </row>
    <row r="55" spans="2:69" ht="12" customHeight="1">
      <c r="BJ55" s="264"/>
      <c r="BK55" s="279"/>
      <c r="BL55" s="1438"/>
      <c r="BM55" s="286"/>
      <c r="BN55" s="15"/>
      <c r="BO55" s="286"/>
      <c r="BP55" s="271"/>
      <c r="BQ55" s="264"/>
    </row>
    <row r="56" spans="2:69" ht="11.25" customHeight="1">
      <c r="BJ56" s="264"/>
      <c r="BK56" s="279"/>
      <c r="BL56" s="1438"/>
      <c r="BM56" s="286"/>
      <c r="BN56" s="264"/>
      <c r="BO56" s="286"/>
      <c r="BP56" s="271"/>
      <c r="BQ56" s="264"/>
    </row>
    <row r="57" spans="2:69" s="177" customFormat="1" ht="22.5" customHeight="1">
      <c r="B57" s="289"/>
      <c r="H57" s="289"/>
      <c r="J57" s="288"/>
      <c r="O57" s="289"/>
      <c r="R57" s="288"/>
      <c r="W57" s="289"/>
      <c r="Z57" s="290"/>
      <c r="AK57" s="290"/>
      <c r="AS57" s="290"/>
      <c r="BB57" s="290"/>
      <c r="BK57" s="279"/>
      <c r="BL57" s="1438"/>
      <c r="BM57" s="241"/>
      <c r="BN57" s="29"/>
      <c r="BO57" s="241"/>
      <c r="BP57" s="271"/>
      <c r="BQ57" s="264"/>
    </row>
    <row r="58" spans="2:69" s="177" customFormat="1" ht="22.5" customHeight="1">
      <c r="B58" s="289"/>
      <c r="H58" s="289"/>
      <c r="J58" s="288"/>
      <c r="O58" s="289"/>
      <c r="R58" s="288"/>
      <c r="W58" s="289"/>
      <c r="Z58" s="290"/>
      <c r="AK58" s="290"/>
      <c r="AS58" s="290"/>
      <c r="BB58" s="290"/>
      <c r="BK58" s="279"/>
      <c r="BL58" s="1438"/>
      <c r="BM58" s="241"/>
      <c r="BN58" s="30"/>
      <c r="BO58" s="241"/>
      <c r="BP58" s="271"/>
      <c r="BQ58" s="264"/>
    </row>
    <row r="59" spans="2:69" s="177" customFormat="1" ht="22.5" customHeight="1">
      <c r="B59" s="289"/>
      <c r="H59" s="289"/>
      <c r="J59" s="288"/>
      <c r="O59" s="289"/>
      <c r="R59" s="288"/>
      <c r="W59" s="289"/>
      <c r="Z59" s="290"/>
      <c r="AK59" s="290"/>
      <c r="AS59" s="290"/>
      <c r="BB59" s="290"/>
      <c r="BK59" s="279"/>
      <c r="BL59" s="1438"/>
      <c r="BM59" s="241"/>
      <c r="BN59" s="30"/>
      <c r="BO59" s="241"/>
      <c r="BP59" s="271"/>
      <c r="BQ59" s="264"/>
    </row>
    <row r="60" spans="2:69" s="177" customFormat="1" ht="22.5" customHeight="1">
      <c r="B60" s="289"/>
      <c r="H60" s="289"/>
      <c r="J60" s="288"/>
      <c r="O60" s="289"/>
      <c r="R60" s="288"/>
      <c r="W60" s="289"/>
      <c r="Z60" s="290"/>
      <c r="AK60" s="290"/>
      <c r="AS60" s="290"/>
      <c r="BB60" s="290"/>
      <c r="BC60" s="274"/>
      <c r="BD60" s="274"/>
      <c r="BE60" s="274"/>
      <c r="BF60" s="274"/>
      <c r="BG60" s="274"/>
      <c r="BH60" s="274"/>
      <c r="BI60" s="274"/>
      <c r="BK60" s="279"/>
      <c r="BL60" s="1438"/>
      <c r="BM60" s="241"/>
      <c r="BN60" s="30"/>
      <c r="BO60" s="241"/>
      <c r="BP60" s="271"/>
      <c r="BQ60" s="264"/>
    </row>
    <row r="61" spans="2:69" s="177" customFormat="1" ht="22.5" customHeight="1">
      <c r="B61" s="289"/>
      <c r="H61" s="289"/>
      <c r="J61" s="288"/>
      <c r="O61" s="289"/>
      <c r="R61" s="288"/>
      <c r="W61" s="289"/>
      <c r="Z61" s="290"/>
      <c r="AK61" s="290"/>
      <c r="AS61" s="290"/>
      <c r="BC61" s="274"/>
      <c r="BD61" s="274"/>
      <c r="BE61" s="274"/>
      <c r="BF61" s="274"/>
      <c r="BG61" s="274"/>
      <c r="BH61" s="274"/>
      <c r="BI61" s="274"/>
      <c r="BK61" s="290"/>
      <c r="BL61" s="1438"/>
      <c r="BM61" s="241"/>
      <c r="BN61" s="30"/>
      <c r="BO61" s="241"/>
      <c r="BP61" s="271"/>
      <c r="BQ61" s="264"/>
    </row>
    <row r="62" spans="2:69" s="177" customFormat="1" ht="22.5" customHeight="1">
      <c r="B62" s="289"/>
      <c r="H62" s="289"/>
      <c r="J62" s="288"/>
      <c r="O62" s="289"/>
      <c r="R62" s="288"/>
      <c r="W62" s="289"/>
      <c r="Z62" s="290"/>
      <c r="AK62" s="290"/>
      <c r="BB62" s="290"/>
      <c r="BC62" s="274"/>
      <c r="BD62" s="274"/>
      <c r="BE62" s="274"/>
      <c r="BF62" s="274"/>
      <c r="BG62" s="274"/>
      <c r="BH62" s="274"/>
      <c r="BI62" s="274"/>
      <c r="BK62" s="290"/>
      <c r="BL62" s="1438"/>
      <c r="BM62" s="241"/>
      <c r="BN62" s="30"/>
      <c r="BO62" s="241"/>
      <c r="BP62" s="271"/>
      <c r="BQ62" s="264"/>
    </row>
    <row r="63" spans="2:69" s="177" customFormat="1" ht="22.5" customHeight="1">
      <c r="B63" s="289"/>
      <c r="H63" s="289"/>
      <c r="J63" s="288"/>
      <c r="O63" s="289"/>
      <c r="R63" s="288"/>
      <c r="W63" s="289"/>
      <c r="Z63" s="290"/>
      <c r="AK63" s="290"/>
      <c r="AS63" s="290"/>
      <c r="BB63" s="290"/>
      <c r="BC63" s="274"/>
      <c r="BD63" s="274"/>
      <c r="BE63" s="274"/>
      <c r="BF63" s="274"/>
      <c r="BG63" s="274"/>
      <c r="BH63" s="274"/>
      <c r="BI63" s="274"/>
      <c r="BK63" s="290"/>
      <c r="BL63" s="1438"/>
      <c r="BM63" s="241"/>
      <c r="BN63" s="30"/>
      <c r="BO63" s="241"/>
      <c r="BP63" s="271"/>
      <c r="BQ63" s="264"/>
    </row>
    <row r="64" spans="2:69" s="177" customFormat="1" ht="22.5" customHeight="1">
      <c r="B64" s="289"/>
      <c r="H64" s="289"/>
      <c r="J64" s="288"/>
      <c r="O64" s="289"/>
      <c r="R64" s="288"/>
      <c r="W64" s="289"/>
      <c r="Z64" s="290"/>
      <c r="AK64" s="290"/>
      <c r="AS64" s="290"/>
      <c r="BB64" s="290"/>
      <c r="BC64" s="274"/>
      <c r="BD64" s="274"/>
      <c r="BE64" s="274"/>
      <c r="BF64" s="274"/>
      <c r="BG64" s="274"/>
      <c r="BH64" s="274"/>
      <c r="BI64" s="274"/>
      <c r="BK64" s="290"/>
      <c r="BL64" s="1438"/>
      <c r="BM64" s="241"/>
      <c r="BN64" s="30"/>
      <c r="BO64" s="241"/>
      <c r="BP64" s="271"/>
      <c r="BQ64" s="264"/>
    </row>
    <row r="65" spans="2:69" s="177" customFormat="1" ht="22.5" customHeight="1">
      <c r="B65" s="289"/>
      <c r="H65" s="289"/>
      <c r="J65" s="288"/>
      <c r="O65" s="289"/>
      <c r="R65" s="288"/>
      <c r="W65" s="289"/>
      <c r="Z65" s="290"/>
      <c r="AK65" s="290"/>
      <c r="AS65" s="290"/>
      <c r="BA65" s="274"/>
      <c r="BB65" s="290"/>
      <c r="BC65" s="274"/>
      <c r="BD65" s="274"/>
      <c r="BE65" s="274"/>
      <c r="BF65" s="274"/>
      <c r="BG65" s="274"/>
      <c r="BH65" s="274"/>
      <c r="BI65" s="274"/>
      <c r="BJ65" s="274"/>
      <c r="BK65" s="290"/>
      <c r="BL65" s="1438"/>
      <c r="BM65" s="241"/>
      <c r="BN65" s="30"/>
      <c r="BO65" s="241"/>
      <c r="BP65" s="271"/>
      <c r="BQ65" s="264"/>
    </row>
    <row r="66" spans="2:69" ht="22.5" customHeight="1">
      <c r="BA66" s="274"/>
      <c r="BC66" s="274"/>
      <c r="BD66" s="274"/>
      <c r="BE66" s="274"/>
      <c r="BF66" s="274"/>
      <c r="BG66" s="274"/>
      <c r="BH66" s="274"/>
      <c r="BI66" s="274"/>
      <c r="BJ66" s="274"/>
      <c r="BL66" s="1438"/>
      <c r="BM66" s="241"/>
      <c r="BN66" s="30"/>
      <c r="BO66" s="241"/>
      <c r="BP66" s="271"/>
      <c r="BQ66" s="264"/>
    </row>
    <row r="67" spans="2:69" s="100" customFormat="1" ht="22.5" customHeight="1">
      <c r="J67" s="290"/>
      <c r="K67" s="274"/>
      <c r="L67" s="274"/>
      <c r="M67" s="274"/>
      <c r="N67" s="274"/>
      <c r="O67" s="274"/>
      <c r="P67" s="274"/>
      <c r="Q67" s="274"/>
      <c r="R67" s="290"/>
      <c r="S67" s="274"/>
      <c r="T67" s="274"/>
      <c r="U67" s="274"/>
      <c r="V67" s="274"/>
      <c r="W67" s="274"/>
      <c r="X67" s="274"/>
      <c r="AR67" s="274"/>
      <c r="AS67" s="290"/>
      <c r="AW67" s="274"/>
      <c r="AX67" s="274"/>
      <c r="AY67" s="274"/>
      <c r="AZ67" s="274"/>
      <c r="BA67" s="274"/>
      <c r="BB67" s="290"/>
      <c r="BC67" s="274"/>
      <c r="BD67" s="274"/>
      <c r="BE67" s="274"/>
      <c r="BF67" s="274"/>
      <c r="BG67" s="274"/>
      <c r="BH67" s="274"/>
      <c r="BI67" s="274"/>
      <c r="BJ67" s="274"/>
      <c r="BK67" s="290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90"/>
      <c r="K68" s="274"/>
      <c r="L68" s="274"/>
      <c r="M68" s="274"/>
      <c r="N68" s="274"/>
      <c r="O68" s="274"/>
      <c r="P68" s="274"/>
      <c r="Q68" s="274"/>
      <c r="R68" s="290"/>
      <c r="S68" s="274"/>
      <c r="T68" s="274"/>
      <c r="U68" s="274"/>
      <c r="V68" s="274"/>
      <c r="W68" s="274"/>
      <c r="X68" s="274"/>
      <c r="Y68" s="274"/>
      <c r="Z68" s="290"/>
      <c r="AA68" s="274"/>
      <c r="AB68" s="274"/>
      <c r="AC68" s="274"/>
      <c r="AD68" s="274"/>
      <c r="AE68" s="274"/>
      <c r="AF68" s="274"/>
      <c r="AG68" s="274"/>
      <c r="AH68" s="274"/>
      <c r="AI68" s="274"/>
      <c r="AR68" s="274"/>
      <c r="AS68" s="290"/>
      <c r="AW68" s="274"/>
      <c r="AX68" s="274"/>
      <c r="AY68" s="274"/>
      <c r="AZ68" s="274"/>
      <c r="BA68" s="274"/>
      <c r="BB68" s="290"/>
      <c r="BC68" s="274"/>
      <c r="BD68" s="274"/>
      <c r="BE68" s="274"/>
      <c r="BF68" s="274"/>
      <c r="BG68" s="274"/>
      <c r="BH68" s="274"/>
      <c r="BI68" s="274"/>
      <c r="BJ68" s="264"/>
      <c r="BK68" s="290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90"/>
      <c r="K69" s="274"/>
      <c r="L69" s="274"/>
      <c r="M69" s="274"/>
      <c r="N69" s="274"/>
      <c r="O69" s="274"/>
      <c r="P69" s="274"/>
      <c r="Q69" s="274"/>
      <c r="R69" s="290"/>
      <c r="S69" s="274"/>
      <c r="T69" s="274"/>
      <c r="U69" s="274"/>
      <c r="V69" s="274"/>
      <c r="W69" s="274"/>
      <c r="X69" s="274"/>
      <c r="Y69" s="274"/>
      <c r="Z69" s="290"/>
      <c r="AA69" s="274"/>
      <c r="AB69" s="274"/>
      <c r="AC69" s="274"/>
      <c r="AD69" s="274"/>
      <c r="AE69" s="274"/>
      <c r="AF69" s="274"/>
      <c r="AG69" s="274"/>
      <c r="AH69" s="274"/>
      <c r="AI69" s="274"/>
      <c r="AR69" s="274"/>
      <c r="AS69" s="290"/>
      <c r="AW69" s="274"/>
      <c r="AX69" s="274"/>
      <c r="AY69" s="274"/>
      <c r="AZ69" s="274"/>
      <c r="BA69" s="274"/>
      <c r="BB69" s="290"/>
      <c r="BC69" s="274"/>
      <c r="BD69" s="274"/>
      <c r="BE69" s="274"/>
      <c r="BF69" s="274"/>
      <c r="BG69" s="274"/>
      <c r="BH69" s="274"/>
      <c r="BI69" s="274"/>
      <c r="BJ69" s="264"/>
      <c r="BK69" s="290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90"/>
      <c r="K70" s="274"/>
      <c r="L70" s="274"/>
      <c r="M70" s="274"/>
      <c r="N70" s="274"/>
      <c r="O70" s="274"/>
      <c r="P70" s="274"/>
      <c r="Q70" s="274"/>
      <c r="R70" s="290"/>
      <c r="S70" s="274"/>
      <c r="T70" s="274"/>
      <c r="U70" s="274"/>
      <c r="V70" s="274"/>
      <c r="W70" s="274"/>
      <c r="X70" s="274"/>
      <c r="Y70" s="274"/>
      <c r="Z70" s="290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90"/>
      <c r="AL70" s="274"/>
      <c r="AM70" s="274"/>
      <c r="AN70" s="274"/>
      <c r="AO70" s="274"/>
      <c r="AP70" s="274"/>
      <c r="AQ70" s="274"/>
      <c r="AR70" s="264"/>
      <c r="AS70" s="290"/>
      <c r="AW70" s="274"/>
      <c r="AX70" s="274"/>
      <c r="AY70" s="291"/>
      <c r="AZ70" s="274"/>
      <c r="BA70" s="274"/>
      <c r="BB70" s="290"/>
      <c r="BC70" s="274"/>
      <c r="BD70" s="274"/>
      <c r="BE70" s="274"/>
      <c r="BF70" s="274"/>
      <c r="BG70" s="274"/>
      <c r="BH70" s="274"/>
      <c r="BI70" s="274"/>
      <c r="BJ70" s="264"/>
      <c r="BK70" s="290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90"/>
      <c r="K71" s="274"/>
      <c r="L71" s="274"/>
      <c r="M71" s="274"/>
      <c r="N71" s="274"/>
      <c r="O71" s="274"/>
      <c r="P71" s="274"/>
      <c r="Q71" s="274"/>
      <c r="R71" s="290"/>
      <c r="S71" s="274"/>
      <c r="T71" s="274"/>
      <c r="U71" s="274"/>
      <c r="V71" s="274"/>
      <c r="W71" s="274"/>
      <c r="X71" s="274"/>
      <c r="Y71" s="274"/>
      <c r="Z71" s="290"/>
      <c r="AA71" s="274"/>
      <c r="AB71" s="274"/>
      <c r="AC71" s="274"/>
      <c r="AD71" s="274"/>
      <c r="AE71" s="274"/>
      <c r="AF71" s="274"/>
      <c r="AG71" s="274"/>
      <c r="AH71" s="274"/>
      <c r="AI71" s="274"/>
      <c r="AR71" s="264"/>
      <c r="AS71" s="290"/>
      <c r="AW71" s="274"/>
      <c r="AX71" s="274"/>
      <c r="AY71" s="291"/>
      <c r="AZ71" s="274"/>
      <c r="BA71" s="274"/>
      <c r="BB71" s="290"/>
      <c r="BC71" s="274"/>
      <c r="BD71" s="274"/>
      <c r="BE71" s="274"/>
      <c r="BF71" s="274"/>
      <c r="BG71" s="274"/>
      <c r="BH71" s="274"/>
      <c r="BI71" s="274"/>
      <c r="BJ71" s="274"/>
      <c r="BK71" s="290"/>
      <c r="BL71" s="274"/>
      <c r="BM71" s="274"/>
      <c r="BN71" s="274"/>
      <c r="BO71" s="274"/>
      <c r="BP71" s="274"/>
      <c r="BQ71" s="274"/>
    </row>
    <row r="72" spans="2:69" s="100" customFormat="1" ht="22.5" customHeight="1">
      <c r="J72" s="290"/>
      <c r="K72" s="274"/>
      <c r="L72" s="274"/>
      <c r="M72" s="274"/>
      <c r="N72" s="274"/>
      <c r="O72" s="274"/>
      <c r="P72" s="274"/>
      <c r="Q72" s="274"/>
      <c r="R72" s="290"/>
      <c r="S72" s="274"/>
      <c r="T72" s="274"/>
      <c r="U72" s="274"/>
      <c r="V72" s="274"/>
      <c r="W72" s="274"/>
      <c r="X72" s="274"/>
      <c r="Y72" s="274"/>
      <c r="Z72" s="290"/>
      <c r="AA72" s="274"/>
      <c r="AB72" s="274"/>
      <c r="AC72" s="274"/>
      <c r="AD72" s="274"/>
      <c r="AE72" s="274"/>
      <c r="AF72" s="274"/>
      <c r="AG72" s="274"/>
      <c r="AH72" s="274"/>
      <c r="AI72" s="274"/>
      <c r="AR72" s="264"/>
      <c r="AS72" s="290"/>
      <c r="AW72" s="274"/>
      <c r="AX72" s="274"/>
      <c r="AY72" s="291"/>
      <c r="AZ72" s="274"/>
      <c r="BA72" s="274"/>
      <c r="BB72" s="290"/>
      <c r="BC72" s="274"/>
      <c r="BD72" s="274"/>
      <c r="BE72" s="274"/>
      <c r="BF72" s="274"/>
      <c r="BG72" s="274"/>
      <c r="BH72" s="274"/>
      <c r="BI72" s="274"/>
      <c r="BJ72" s="274"/>
      <c r="BK72" s="290"/>
      <c r="BL72" s="274"/>
      <c r="BM72" s="274"/>
      <c r="BN72" s="274"/>
      <c r="BO72" s="274"/>
      <c r="BP72" s="274"/>
      <c r="BQ72" s="274"/>
    </row>
    <row r="73" spans="2:69" s="100" customFormat="1" ht="22.5" customHeight="1">
      <c r="J73" s="290"/>
      <c r="K73" s="274"/>
      <c r="L73" s="274"/>
      <c r="M73" s="274"/>
      <c r="N73" s="274"/>
      <c r="O73" s="274"/>
      <c r="P73" s="274"/>
      <c r="Q73" s="274"/>
      <c r="R73" s="290"/>
      <c r="S73" s="274"/>
      <c r="T73" s="274"/>
      <c r="U73" s="274"/>
      <c r="V73" s="274"/>
      <c r="W73" s="274"/>
      <c r="X73" s="274"/>
      <c r="Y73" s="274"/>
      <c r="Z73" s="290"/>
      <c r="AA73" s="274"/>
      <c r="AB73" s="274"/>
      <c r="AC73" s="274"/>
      <c r="AD73" s="274"/>
      <c r="AE73" s="274"/>
      <c r="AF73" s="274"/>
      <c r="AG73" s="274"/>
      <c r="AH73" s="274"/>
      <c r="AI73" s="274"/>
      <c r="AR73" s="274"/>
      <c r="AS73" s="290"/>
      <c r="AT73" s="274"/>
      <c r="AU73" s="274"/>
      <c r="AV73" s="274"/>
      <c r="AW73" s="274"/>
      <c r="AX73" s="274"/>
      <c r="AY73" s="274"/>
      <c r="AZ73" s="274"/>
      <c r="BA73" s="274"/>
      <c r="BB73" s="290"/>
      <c r="BC73" s="274"/>
      <c r="BD73" s="274"/>
      <c r="BE73" s="274"/>
      <c r="BF73" s="274"/>
      <c r="BG73" s="274"/>
      <c r="BH73" s="274"/>
      <c r="BI73" s="274"/>
      <c r="BJ73" s="274"/>
      <c r="BK73" s="290"/>
      <c r="BL73" s="274"/>
      <c r="BM73" s="274"/>
      <c r="BN73" s="274"/>
      <c r="BO73" s="274"/>
      <c r="BP73" s="274"/>
      <c r="BQ73" s="274"/>
    </row>
    <row r="74" spans="2:69" s="100" customFormat="1" ht="22.5" customHeight="1">
      <c r="J74" s="290"/>
      <c r="K74" s="274"/>
      <c r="L74" s="274"/>
      <c r="M74" s="274"/>
      <c r="N74" s="274"/>
      <c r="O74" s="274"/>
      <c r="P74" s="274"/>
      <c r="Q74" s="274"/>
      <c r="R74" s="290"/>
      <c r="S74" s="274"/>
      <c r="T74" s="274"/>
      <c r="U74" s="274"/>
      <c r="V74" s="274"/>
      <c r="W74" s="274"/>
      <c r="X74" s="274"/>
      <c r="Y74" s="274"/>
      <c r="Z74" s="290"/>
      <c r="AA74" s="274"/>
      <c r="AB74" s="274"/>
      <c r="AC74" s="274"/>
      <c r="AD74" s="274"/>
      <c r="AE74" s="274"/>
      <c r="AF74" s="274"/>
      <c r="AG74" s="274"/>
      <c r="AH74" s="274"/>
      <c r="AI74" s="274"/>
      <c r="AR74" s="274"/>
      <c r="AS74" s="290"/>
      <c r="AT74" s="274"/>
      <c r="AU74" s="274"/>
      <c r="AV74" s="274"/>
      <c r="AW74" s="274"/>
      <c r="AX74" s="274"/>
      <c r="AY74" s="274"/>
      <c r="AZ74" s="274"/>
      <c r="BA74" s="274"/>
      <c r="BB74" s="290"/>
      <c r="BC74" s="274"/>
      <c r="BD74" s="274"/>
      <c r="BE74" s="274"/>
      <c r="BF74" s="274"/>
      <c r="BG74" s="274"/>
      <c r="BH74" s="274"/>
      <c r="BI74" s="274"/>
      <c r="BJ74" s="274"/>
      <c r="BK74" s="290"/>
      <c r="BL74" s="274"/>
      <c r="BM74" s="274"/>
      <c r="BN74" s="274"/>
      <c r="BO74" s="274"/>
      <c r="BP74" s="291"/>
      <c r="BQ74" s="274"/>
    </row>
    <row r="75" spans="2:69" s="100" customFormat="1" ht="22.5" customHeight="1">
      <c r="J75" s="290"/>
      <c r="K75" s="274"/>
      <c r="L75" s="274"/>
      <c r="M75" s="274"/>
      <c r="N75" s="274"/>
      <c r="O75" s="274"/>
      <c r="P75" s="274"/>
      <c r="Q75" s="274"/>
      <c r="R75" s="290"/>
      <c r="S75" s="274"/>
      <c r="T75" s="274"/>
      <c r="U75" s="274"/>
      <c r="V75" s="274"/>
      <c r="W75" s="274"/>
      <c r="X75" s="274"/>
      <c r="Y75" s="274"/>
      <c r="Z75" s="290"/>
      <c r="AA75" s="274"/>
      <c r="AB75" s="274"/>
      <c r="AC75" s="274"/>
      <c r="AD75" s="274"/>
      <c r="AE75" s="274"/>
      <c r="AF75" s="274"/>
      <c r="AG75" s="274"/>
      <c r="AH75" s="274"/>
      <c r="AI75" s="274"/>
      <c r="AR75" s="274"/>
      <c r="AS75" s="290"/>
      <c r="AT75" s="274"/>
      <c r="AU75" s="274"/>
      <c r="AV75" s="274"/>
      <c r="AW75" s="274"/>
      <c r="AX75" s="274"/>
      <c r="AY75" s="274"/>
      <c r="AZ75" s="274"/>
      <c r="BA75" s="274"/>
      <c r="BB75" s="290"/>
      <c r="BC75" s="274"/>
      <c r="BD75" s="274"/>
      <c r="BE75" s="274"/>
      <c r="BF75" s="274"/>
      <c r="BG75" s="274"/>
      <c r="BH75" s="274"/>
      <c r="BI75" s="274"/>
      <c r="BJ75" s="274"/>
      <c r="BK75" s="290"/>
      <c r="BL75" s="274"/>
      <c r="BM75" s="274"/>
      <c r="BN75" s="274"/>
      <c r="BO75" s="274"/>
      <c r="BP75" s="291"/>
      <c r="BQ75" s="274"/>
    </row>
    <row r="76" spans="2:69" s="100" customFormat="1" ht="22.5" customHeight="1">
      <c r="J76" s="290"/>
      <c r="K76" s="274"/>
      <c r="L76" s="274"/>
      <c r="M76" s="274"/>
      <c r="N76" s="274"/>
      <c r="O76" s="274"/>
      <c r="P76" s="274"/>
      <c r="Q76" s="274"/>
      <c r="R76" s="290"/>
      <c r="S76" s="274"/>
      <c r="T76" s="274"/>
      <c r="U76" s="274"/>
      <c r="V76" s="274"/>
      <c r="W76" s="274"/>
      <c r="X76" s="274"/>
      <c r="Y76" s="274"/>
      <c r="Z76" s="290"/>
      <c r="AA76" s="274"/>
      <c r="AB76" s="274"/>
      <c r="AC76" s="274"/>
      <c r="AD76" s="274"/>
      <c r="AE76" s="274"/>
      <c r="AF76" s="274"/>
      <c r="AG76" s="274"/>
      <c r="AH76" s="274"/>
      <c r="AI76" s="274"/>
      <c r="AR76" s="274"/>
      <c r="AS76" s="290"/>
      <c r="AT76" s="274"/>
      <c r="AU76" s="274"/>
      <c r="AV76" s="274"/>
      <c r="AW76" s="274"/>
      <c r="AX76" s="274"/>
      <c r="AY76" s="274"/>
      <c r="AZ76" s="274"/>
      <c r="BA76" s="274"/>
      <c r="BB76" s="290"/>
      <c r="BC76" s="274"/>
      <c r="BD76" s="274"/>
      <c r="BE76" s="274"/>
      <c r="BF76" s="274"/>
      <c r="BG76" s="274"/>
      <c r="BH76" s="274"/>
      <c r="BI76" s="274"/>
      <c r="BJ76" s="274"/>
      <c r="BK76" s="290"/>
      <c r="BL76" s="274"/>
      <c r="BM76" s="274"/>
      <c r="BN76" s="274"/>
      <c r="BO76" s="274"/>
      <c r="BP76" s="291"/>
      <c r="BQ76" s="274"/>
    </row>
    <row r="77" spans="2:69" s="100" customFormat="1" ht="22.5" customHeight="1">
      <c r="J77" s="290"/>
      <c r="K77" s="274"/>
      <c r="L77" s="274"/>
      <c r="M77" s="274"/>
      <c r="N77" s="274"/>
      <c r="O77" s="274"/>
      <c r="P77" s="274"/>
      <c r="Q77" s="274"/>
      <c r="R77" s="290"/>
      <c r="S77" s="274"/>
      <c r="T77" s="274"/>
      <c r="U77" s="274"/>
      <c r="V77" s="274"/>
      <c r="W77" s="274"/>
      <c r="X77" s="274"/>
      <c r="Y77" s="274"/>
      <c r="Z77" s="290"/>
      <c r="AA77" s="274"/>
      <c r="AB77" s="274"/>
      <c r="AC77" s="274"/>
      <c r="AD77" s="274"/>
      <c r="AE77" s="274"/>
      <c r="AF77" s="274"/>
      <c r="AG77" s="274"/>
      <c r="AH77" s="274"/>
      <c r="AI77" s="274"/>
      <c r="AR77" s="274"/>
      <c r="AS77" s="290"/>
      <c r="AT77" s="274"/>
      <c r="AU77" s="274"/>
      <c r="AV77" s="274"/>
      <c r="AW77" s="274"/>
      <c r="AX77" s="274"/>
      <c r="AY77" s="274"/>
      <c r="AZ77" s="274"/>
      <c r="BA77" s="274"/>
      <c r="BB77" s="290"/>
      <c r="BC77" s="274"/>
      <c r="BD77" s="274"/>
      <c r="BE77" s="274"/>
      <c r="BF77" s="274"/>
      <c r="BG77" s="274"/>
      <c r="BH77" s="274"/>
      <c r="BI77" s="274"/>
      <c r="BJ77" s="274"/>
      <c r="BK77" s="290"/>
      <c r="BL77" s="274"/>
      <c r="BM77" s="274"/>
      <c r="BN77" s="274"/>
      <c r="BO77" s="274"/>
      <c r="BP77" s="274"/>
      <c r="BQ77" s="274"/>
    </row>
    <row r="78" spans="2:69" s="100" customFormat="1" ht="22.5" customHeight="1">
      <c r="J78" s="290"/>
      <c r="K78" s="274"/>
      <c r="L78" s="274"/>
      <c r="M78" s="274"/>
      <c r="N78" s="274"/>
      <c r="O78" s="274"/>
      <c r="P78" s="274"/>
      <c r="Q78" s="274"/>
      <c r="R78" s="290"/>
      <c r="S78" s="274"/>
      <c r="T78" s="274"/>
      <c r="U78" s="274"/>
      <c r="V78" s="274"/>
      <c r="W78" s="274"/>
      <c r="X78" s="274"/>
      <c r="Y78" s="274"/>
      <c r="Z78" s="290"/>
      <c r="AA78" s="274"/>
      <c r="AB78" s="274"/>
      <c r="AC78" s="274"/>
      <c r="AD78" s="274"/>
      <c r="AE78" s="274"/>
      <c r="AF78" s="274"/>
      <c r="AG78" s="274"/>
      <c r="AH78" s="274"/>
      <c r="AI78" s="274"/>
      <c r="AR78" s="274"/>
      <c r="AS78" s="290"/>
      <c r="AT78" s="274"/>
      <c r="AU78" s="274"/>
      <c r="AV78" s="274"/>
      <c r="AW78" s="274"/>
      <c r="AX78" s="274"/>
      <c r="AY78" s="274"/>
      <c r="AZ78" s="274"/>
      <c r="BA78" s="274"/>
      <c r="BB78" s="290"/>
      <c r="BC78" s="274"/>
      <c r="BD78" s="274"/>
      <c r="BE78" s="274"/>
      <c r="BF78" s="274"/>
      <c r="BG78" s="274"/>
      <c r="BH78" s="274"/>
      <c r="BI78" s="274"/>
      <c r="BJ78" s="274"/>
      <c r="BK78" s="290"/>
      <c r="BL78" s="274"/>
      <c r="BM78" s="274"/>
      <c r="BN78" s="274"/>
      <c r="BO78" s="274"/>
      <c r="BP78" s="274"/>
      <c r="BQ78" s="274"/>
    </row>
    <row r="79" spans="2:69" s="100" customFormat="1" ht="22.5" customHeight="1">
      <c r="J79" s="290"/>
      <c r="K79" s="274"/>
      <c r="L79" s="274"/>
      <c r="M79" s="274"/>
      <c r="N79" s="274"/>
      <c r="O79" s="274"/>
      <c r="P79" s="274"/>
      <c r="Q79" s="274"/>
      <c r="R79" s="290"/>
      <c r="S79" s="274"/>
      <c r="T79" s="274"/>
      <c r="U79" s="274"/>
      <c r="V79" s="274"/>
      <c r="W79" s="274"/>
      <c r="X79" s="274"/>
      <c r="Y79" s="274"/>
      <c r="Z79" s="290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90"/>
      <c r="AL79" s="274"/>
      <c r="AM79" s="274"/>
      <c r="AN79" s="274"/>
      <c r="AO79" s="274"/>
      <c r="AP79" s="274"/>
      <c r="AQ79" s="274"/>
      <c r="AR79" s="274"/>
      <c r="AS79" s="290"/>
      <c r="AT79" s="274"/>
      <c r="AU79" s="274"/>
      <c r="AV79" s="274"/>
      <c r="AW79" s="274"/>
      <c r="AX79" s="274"/>
      <c r="AY79" s="274"/>
      <c r="AZ79" s="274"/>
      <c r="BA79" s="274"/>
      <c r="BB79" s="290"/>
      <c r="BC79" s="274"/>
      <c r="BD79" s="274"/>
      <c r="BE79" s="274"/>
      <c r="BF79" s="274"/>
      <c r="BG79" s="274"/>
      <c r="BH79" s="274"/>
      <c r="BI79" s="274"/>
      <c r="BJ79" s="274"/>
      <c r="BK79" s="290"/>
      <c r="BL79" s="274"/>
      <c r="BM79" s="274"/>
      <c r="BN79" s="274"/>
      <c r="BO79" s="274"/>
      <c r="BP79" s="274"/>
      <c r="BQ79" s="274"/>
    </row>
    <row r="80" spans="2:69" s="100" customFormat="1" ht="22.5" customHeight="1">
      <c r="J80" s="290"/>
      <c r="K80" s="274"/>
      <c r="L80" s="274"/>
      <c r="M80" s="274"/>
      <c r="N80" s="274"/>
      <c r="O80" s="274"/>
      <c r="P80" s="274"/>
      <c r="Q80" s="274"/>
      <c r="R80" s="290"/>
      <c r="S80" s="274"/>
      <c r="T80" s="274"/>
      <c r="U80" s="274"/>
      <c r="V80" s="274"/>
      <c r="W80" s="274"/>
      <c r="X80" s="274"/>
      <c r="Y80" s="274"/>
      <c r="Z80" s="290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90"/>
      <c r="AL80" s="274"/>
      <c r="AM80" s="274"/>
      <c r="AN80" s="274"/>
      <c r="AO80" s="274"/>
      <c r="AP80" s="274"/>
      <c r="AQ80" s="274"/>
      <c r="AR80" s="274"/>
      <c r="AS80" s="290"/>
      <c r="AT80" s="274"/>
      <c r="AU80" s="274"/>
      <c r="AV80" s="274"/>
      <c r="AW80" s="274"/>
      <c r="AX80" s="274"/>
      <c r="AY80" s="274"/>
      <c r="AZ80" s="274"/>
      <c r="BA80" s="274"/>
      <c r="BB80" s="290"/>
      <c r="BC80" s="274"/>
      <c r="BD80" s="274"/>
      <c r="BE80" s="274"/>
      <c r="BF80" s="274"/>
      <c r="BG80" s="274"/>
      <c r="BH80" s="274"/>
      <c r="BI80" s="274"/>
      <c r="BJ80" s="274"/>
      <c r="BK80" s="290"/>
      <c r="BL80" s="274"/>
      <c r="BM80" s="274"/>
      <c r="BN80" s="274"/>
      <c r="BO80" s="274"/>
      <c r="BP80" s="274"/>
      <c r="BQ80" s="274"/>
    </row>
    <row r="81" spans="10:69" s="100" customFormat="1" ht="22.5" customHeight="1">
      <c r="J81" s="290"/>
      <c r="K81" s="274"/>
      <c r="L81" s="274"/>
      <c r="M81" s="274"/>
      <c r="N81" s="274"/>
      <c r="O81" s="274"/>
      <c r="P81" s="274"/>
      <c r="Q81" s="274"/>
      <c r="R81" s="290"/>
      <c r="S81" s="274"/>
      <c r="T81" s="274"/>
      <c r="U81" s="274"/>
      <c r="V81" s="274"/>
      <c r="W81" s="274"/>
      <c r="X81" s="274"/>
      <c r="Y81" s="274"/>
      <c r="Z81" s="290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90"/>
      <c r="AL81" s="274"/>
      <c r="AM81" s="274"/>
      <c r="AN81" s="274"/>
      <c r="AO81" s="274"/>
      <c r="AP81" s="274"/>
      <c r="AQ81" s="274"/>
      <c r="AR81" s="274"/>
      <c r="AS81" s="290"/>
      <c r="AT81" s="274"/>
      <c r="AU81" s="274"/>
      <c r="AV81" s="274"/>
      <c r="AW81" s="274"/>
      <c r="AX81" s="274"/>
      <c r="AY81" s="274"/>
      <c r="AZ81" s="274"/>
      <c r="BA81" s="274"/>
      <c r="BB81" s="290"/>
      <c r="BC81" s="274"/>
      <c r="BD81" s="274"/>
      <c r="BE81" s="274"/>
      <c r="BF81" s="274"/>
      <c r="BG81" s="274"/>
      <c r="BH81" s="274"/>
      <c r="BI81" s="274"/>
      <c r="BJ81" s="274"/>
      <c r="BK81" s="290"/>
      <c r="BL81" s="274"/>
      <c r="BM81" s="274"/>
      <c r="BN81" s="274"/>
      <c r="BO81" s="274"/>
      <c r="BP81" s="274"/>
      <c r="BQ81" s="274"/>
    </row>
    <row r="82" spans="10:69" s="100" customFormat="1" ht="22.5" customHeight="1">
      <c r="J82" s="290"/>
      <c r="K82" s="274"/>
      <c r="L82" s="274"/>
      <c r="M82" s="274"/>
      <c r="N82" s="274"/>
      <c r="O82" s="274"/>
      <c r="P82" s="274"/>
      <c r="Q82" s="274"/>
      <c r="R82" s="290"/>
      <c r="S82" s="274"/>
      <c r="T82" s="274"/>
      <c r="U82" s="274"/>
      <c r="V82" s="274"/>
      <c r="W82" s="274"/>
      <c r="X82" s="274"/>
      <c r="Y82" s="274"/>
      <c r="Z82" s="290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90"/>
      <c r="AL82" s="274"/>
      <c r="AM82" s="274"/>
      <c r="AN82" s="274"/>
      <c r="AO82" s="274"/>
      <c r="AP82" s="274"/>
      <c r="AQ82" s="274"/>
      <c r="AR82" s="274"/>
      <c r="AS82" s="290"/>
      <c r="AT82" s="274"/>
      <c r="AU82" s="274"/>
      <c r="AV82" s="274"/>
      <c r="AW82" s="274"/>
      <c r="AX82" s="274"/>
      <c r="AY82" s="274"/>
      <c r="AZ82" s="274"/>
      <c r="BA82" s="274"/>
      <c r="BB82" s="290"/>
      <c r="BC82" s="274"/>
      <c r="BD82" s="274"/>
      <c r="BE82" s="274"/>
      <c r="BF82" s="274"/>
      <c r="BG82" s="274"/>
      <c r="BH82" s="274"/>
      <c r="BI82" s="274"/>
      <c r="BJ82" s="274"/>
      <c r="BK82" s="290"/>
      <c r="BL82" s="274"/>
      <c r="BM82" s="274"/>
      <c r="BN82" s="274"/>
      <c r="BO82" s="274"/>
      <c r="BP82" s="274"/>
      <c r="BQ82" s="274"/>
    </row>
    <row r="83" spans="10:69" s="100" customFormat="1" ht="22.5" customHeight="1">
      <c r="J83" s="290"/>
      <c r="K83" s="274"/>
      <c r="L83" s="274"/>
      <c r="M83" s="274"/>
      <c r="N83" s="274"/>
      <c r="O83" s="274"/>
      <c r="P83" s="274"/>
      <c r="Q83" s="274"/>
      <c r="R83" s="290"/>
      <c r="S83" s="274"/>
      <c r="T83" s="274"/>
      <c r="U83" s="274"/>
      <c r="V83" s="274"/>
      <c r="W83" s="274"/>
      <c r="X83" s="274"/>
      <c r="Y83" s="274"/>
      <c r="Z83" s="290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90"/>
      <c r="AL83" s="274"/>
      <c r="AM83" s="274"/>
      <c r="AN83" s="274"/>
      <c r="AO83" s="274"/>
      <c r="AP83" s="274"/>
      <c r="AQ83" s="274"/>
      <c r="AR83" s="274"/>
      <c r="AS83" s="290"/>
      <c r="AT83" s="274"/>
      <c r="AU83" s="274"/>
      <c r="AV83" s="274"/>
      <c r="AW83" s="274"/>
      <c r="AX83" s="274"/>
      <c r="AY83" s="274"/>
      <c r="AZ83" s="274"/>
      <c r="BA83" s="274"/>
      <c r="BB83" s="290"/>
      <c r="BC83" s="274"/>
      <c r="BD83" s="274"/>
      <c r="BE83" s="274"/>
      <c r="BF83" s="274"/>
      <c r="BG83" s="274"/>
      <c r="BH83" s="274"/>
      <c r="BI83" s="274"/>
      <c r="BJ83" s="274"/>
      <c r="BK83" s="290"/>
      <c r="BL83" s="274"/>
      <c r="BM83" s="274"/>
      <c r="BN83" s="274"/>
      <c r="BO83" s="274"/>
      <c r="BP83" s="274"/>
      <c r="BQ83" s="274"/>
    </row>
    <row r="84" spans="10:69" s="100" customFormat="1" ht="22.5" customHeight="1">
      <c r="J84" s="290"/>
      <c r="K84" s="274"/>
      <c r="L84" s="274"/>
      <c r="M84" s="274"/>
      <c r="N84" s="274"/>
      <c r="O84" s="274"/>
      <c r="P84" s="274"/>
      <c r="Q84" s="274"/>
      <c r="R84" s="290"/>
      <c r="S84" s="274"/>
      <c r="T84" s="274"/>
      <c r="U84" s="274"/>
      <c r="V84" s="274"/>
      <c r="W84" s="274"/>
      <c r="X84" s="274"/>
      <c r="Y84" s="274"/>
      <c r="Z84" s="290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90"/>
      <c r="AL84" s="274"/>
      <c r="AM84" s="274"/>
      <c r="AN84" s="274"/>
      <c r="AO84" s="274"/>
      <c r="AP84" s="274"/>
      <c r="AQ84" s="274"/>
      <c r="AR84" s="274"/>
      <c r="AS84" s="290"/>
      <c r="AT84" s="274"/>
      <c r="AU84" s="274"/>
      <c r="AV84" s="274"/>
      <c r="AW84" s="274"/>
      <c r="AX84" s="274"/>
      <c r="AY84" s="274"/>
      <c r="AZ84" s="274"/>
      <c r="BA84" s="274"/>
      <c r="BB84" s="290"/>
      <c r="BC84" s="274"/>
      <c r="BD84" s="274"/>
      <c r="BE84" s="274"/>
      <c r="BF84" s="274"/>
      <c r="BG84" s="274"/>
      <c r="BH84" s="274"/>
      <c r="BI84" s="274"/>
      <c r="BJ84" s="274"/>
      <c r="BK84" s="290"/>
      <c r="BL84" s="274"/>
      <c r="BM84" s="274"/>
      <c r="BN84" s="274"/>
      <c r="BO84" s="274"/>
      <c r="BP84" s="274"/>
      <c r="BQ84" s="274"/>
    </row>
    <row r="85" spans="10:69" s="100" customFormat="1" ht="22.5" customHeight="1">
      <c r="J85" s="290"/>
      <c r="K85" s="274"/>
      <c r="L85" s="274"/>
      <c r="M85" s="274"/>
      <c r="N85" s="274"/>
      <c r="O85" s="274"/>
      <c r="P85" s="274"/>
      <c r="Q85" s="274"/>
      <c r="R85" s="290"/>
      <c r="S85" s="274"/>
      <c r="T85" s="274"/>
      <c r="U85" s="274"/>
      <c r="V85" s="274"/>
      <c r="W85" s="274"/>
      <c r="X85" s="274"/>
      <c r="Y85" s="274"/>
      <c r="Z85" s="290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90"/>
      <c r="AL85" s="274"/>
      <c r="AM85" s="274"/>
      <c r="AN85" s="274"/>
      <c r="AO85" s="274"/>
      <c r="AP85" s="274"/>
      <c r="AQ85" s="274"/>
      <c r="AR85" s="274"/>
      <c r="AS85" s="290"/>
      <c r="AT85" s="274"/>
      <c r="AU85" s="274"/>
      <c r="AV85" s="274"/>
      <c r="AW85" s="274"/>
      <c r="AX85" s="274"/>
      <c r="AY85" s="274"/>
      <c r="AZ85" s="274"/>
      <c r="BA85" s="274"/>
      <c r="BB85" s="290"/>
      <c r="BC85" s="274"/>
      <c r="BD85" s="274"/>
      <c r="BE85" s="274"/>
      <c r="BF85" s="274"/>
      <c r="BG85" s="274"/>
      <c r="BH85" s="274"/>
      <c r="BI85" s="274"/>
      <c r="BJ85" s="274"/>
      <c r="BK85" s="290"/>
      <c r="BL85" s="274"/>
      <c r="BM85" s="274"/>
      <c r="BN85" s="274"/>
      <c r="BO85" s="274"/>
      <c r="BP85" s="274"/>
      <c r="BQ85" s="274"/>
    </row>
    <row r="86" spans="10:69" s="100" customFormat="1" ht="22.5" customHeight="1">
      <c r="J86" s="290"/>
      <c r="K86" s="274"/>
      <c r="L86" s="274"/>
      <c r="M86" s="274"/>
      <c r="N86" s="274"/>
      <c r="O86" s="274"/>
      <c r="P86" s="274"/>
      <c r="Q86" s="274"/>
      <c r="R86" s="290"/>
      <c r="S86" s="274"/>
      <c r="T86" s="274"/>
      <c r="U86" s="274"/>
      <c r="V86" s="274"/>
      <c r="W86" s="274"/>
      <c r="X86" s="274"/>
      <c r="Y86" s="274"/>
      <c r="Z86" s="290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90"/>
      <c r="AL86" s="274"/>
      <c r="AM86" s="274"/>
      <c r="AN86" s="274"/>
      <c r="AO86" s="274"/>
      <c r="AP86" s="274"/>
      <c r="AQ86" s="274"/>
      <c r="AR86" s="274"/>
      <c r="AS86" s="290"/>
      <c r="AT86" s="274"/>
      <c r="AU86" s="274"/>
      <c r="AV86" s="274"/>
      <c r="AW86" s="274"/>
      <c r="AX86" s="274"/>
      <c r="AY86" s="274"/>
      <c r="AZ86" s="274"/>
      <c r="BA86" s="274"/>
      <c r="BB86" s="290"/>
      <c r="BC86" s="274"/>
      <c r="BD86" s="274"/>
      <c r="BE86" s="274"/>
      <c r="BF86" s="274"/>
      <c r="BG86" s="274"/>
      <c r="BH86" s="274"/>
      <c r="BI86" s="274"/>
      <c r="BJ86" s="274"/>
      <c r="BK86" s="290"/>
      <c r="BL86" s="274"/>
      <c r="BM86" s="274"/>
      <c r="BN86" s="274"/>
      <c r="BO86" s="274"/>
      <c r="BP86" s="274"/>
      <c r="BQ86" s="274"/>
    </row>
    <row r="87" spans="10:69" s="100" customFormat="1" ht="22.5" customHeight="1">
      <c r="J87" s="290"/>
      <c r="K87" s="274"/>
      <c r="L87" s="274"/>
      <c r="M87" s="274"/>
      <c r="N87" s="274"/>
      <c r="O87" s="274"/>
      <c r="P87" s="274"/>
      <c r="Q87" s="274"/>
      <c r="R87" s="290"/>
      <c r="S87" s="274"/>
      <c r="T87" s="274"/>
      <c r="U87" s="274"/>
      <c r="V87" s="274"/>
      <c r="W87" s="274"/>
      <c r="X87" s="274"/>
      <c r="Y87" s="274"/>
      <c r="Z87" s="290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90"/>
      <c r="AL87" s="274"/>
      <c r="AM87" s="274"/>
      <c r="AN87" s="274"/>
      <c r="AO87" s="274"/>
      <c r="AP87" s="274"/>
      <c r="AQ87" s="274"/>
      <c r="AR87" s="274"/>
      <c r="AS87" s="290"/>
      <c r="AT87" s="274"/>
      <c r="AU87" s="274"/>
      <c r="AV87" s="274"/>
      <c r="AW87" s="274"/>
      <c r="AX87" s="274"/>
      <c r="AY87" s="274"/>
      <c r="AZ87" s="274"/>
      <c r="BA87" s="274"/>
      <c r="BB87" s="290"/>
      <c r="BC87" s="274"/>
      <c r="BD87" s="274"/>
      <c r="BE87" s="274"/>
      <c r="BF87" s="274"/>
      <c r="BG87" s="274"/>
      <c r="BH87" s="274"/>
      <c r="BI87" s="274"/>
      <c r="BJ87" s="274"/>
      <c r="BK87" s="290"/>
      <c r="BL87" s="274"/>
      <c r="BM87" s="274"/>
      <c r="BN87" s="274"/>
      <c r="BO87" s="274"/>
      <c r="BP87" s="274"/>
      <c r="BQ87" s="274"/>
    </row>
    <row r="88" spans="10:69" s="100" customFormat="1" ht="22.5" customHeight="1">
      <c r="J88" s="290"/>
      <c r="K88" s="274"/>
      <c r="L88" s="274"/>
      <c r="M88" s="274"/>
      <c r="N88" s="274"/>
      <c r="O88" s="274"/>
      <c r="P88" s="274"/>
      <c r="Q88" s="274"/>
      <c r="R88" s="290"/>
      <c r="S88" s="274"/>
      <c r="T88" s="274"/>
      <c r="U88" s="274"/>
      <c r="V88" s="274"/>
      <c r="W88" s="274"/>
      <c r="X88" s="274"/>
      <c r="Y88" s="274"/>
      <c r="Z88" s="290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90"/>
      <c r="AL88" s="274"/>
      <c r="AM88" s="274"/>
      <c r="AN88" s="274"/>
      <c r="AO88" s="274"/>
      <c r="AP88" s="274"/>
      <c r="AQ88" s="274"/>
      <c r="AR88" s="274"/>
      <c r="AS88" s="290"/>
      <c r="AT88" s="274"/>
      <c r="AU88" s="274"/>
      <c r="AV88" s="274"/>
      <c r="AW88" s="274"/>
      <c r="AX88" s="274"/>
      <c r="AY88" s="274"/>
      <c r="AZ88" s="274"/>
      <c r="BA88" s="274"/>
      <c r="BB88" s="290"/>
      <c r="BC88" s="274"/>
      <c r="BD88" s="274"/>
      <c r="BE88" s="274"/>
      <c r="BF88" s="274"/>
      <c r="BG88" s="274"/>
      <c r="BH88" s="274"/>
      <c r="BI88" s="274"/>
      <c r="BJ88" s="274"/>
      <c r="BK88" s="290"/>
      <c r="BL88" s="274"/>
      <c r="BM88" s="274"/>
      <c r="BN88" s="274"/>
      <c r="BO88" s="274"/>
      <c r="BP88" s="274"/>
      <c r="BQ88" s="274"/>
    </row>
    <row r="89" spans="10:69" s="100" customFormat="1" ht="22.5" customHeight="1">
      <c r="J89" s="290"/>
      <c r="K89" s="274"/>
      <c r="L89" s="274"/>
      <c r="M89" s="274"/>
      <c r="N89" s="274"/>
      <c r="O89" s="274"/>
      <c r="P89" s="274"/>
      <c r="Q89" s="274"/>
      <c r="R89" s="290"/>
      <c r="S89" s="274"/>
      <c r="T89" s="274"/>
      <c r="U89" s="274"/>
      <c r="V89" s="274"/>
      <c r="W89" s="274"/>
      <c r="X89" s="274"/>
      <c r="Y89" s="274"/>
      <c r="Z89" s="290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90"/>
      <c r="AL89" s="274"/>
      <c r="AM89" s="274"/>
      <c r="AN89" s="274"/>
      <c r="AO89" s="274"/>
      <c r="AP89" s="274"/>
      <c r="AQ89" s="274"/>
      <c r="AR89" s="274"/>
      <c r="AS89" s="290"/>
      <c r="AT89" s="274"/>
      <c r="AU89" s="274"/>
      <c r="AV89" s="274"/>
      <c r="AW89" s="274"/>
      <c r="AX89" s="274"/>
      <c r="AY89" s="274"/>
      <c r="AZ89" s="274"/>
      <c r="BA89" s="274"/>
      <c r="BB89" s="290"/>
      <c r="BC89" s="274"/>
      <c r="BD89" s="274"/>
      <c r="BE89" s="274"/>
      <c r="BF89" s="274"/>
      <c r="BG89" s="274"/>
      <c r="BH89" s="274"/>
      <c r="BI89" s="274"/>
      <c r="BJ89" s="274"/>
      <c r="BK89" s="290"/>
      <c r="BL89" s="274"/>
      <c r="BM89" s="274"/>
      <c r="BN89" s="274"/>
      <c r="BO89" s="274"/>
      <c r="BP89" s="274"/>
      <c r="BQ89" s="274"/>
    </row>
    <row r="90" spans="10:69" s="100" customFormat="1" ht="22.5" customHeight="1">
      <c r="J90" s="290"/>
      <c r="K90" s="274"/>
      <c r="L90" s="274"/>
      <c r="M90" s="274"/>
      <c r="N90" s="274"/>
      <c r="O90" s="274"/>
      <c r="P90" s="274"/>
      <c r="Q90" s="274"/>
      <c r="R90" s="290"/>
      <c r="S90" s="274"/>
      <c r="T90" s="274"/>
      <c r="U90" s="274"/>
      <c r="V90" s="274"/>
      <c r="W90" s="274"/>
      <c r="X90" s="274"/>
      <c r="Y90" s="274"/>
      <c r="Z90" s="290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90"/>
      <c r="AL90" s="274"/>
      <c r="AM90" s="274"/>
      <c r="AN90" s="274"/>
      <c r="AO90" s="274"/>
      <c r="AP90" s="274"/>
      <c r="AQ90" s="274"/>
      <c r="AR90" s="274"/>
      <c r="AS90" s="290"/>
      <c r="AT90" s="274"/>
      <c r="AU90" s="274"/>
      <c r="AV90" s="274"/>
      <c r="AW90" s="274"/>
      <c r="AX90" s="274"/>
      <c r="AY90" s="274"/>
      <c r="AZ90" s="274"/>
      <c r="BA90" s="274"/>
      <c r="BB90" s="290"/>
      <c r="BC90" s="274"/>
      <c r="BD90" s="274"/>
      <c r="BE90" s="274"/>
      <c r="BF90" s="274"/>
      <c r="BG90" s="274"/>
      <c r="BH90" s="274"/>
      <c r="BI90" s="274"/>
      <c r="BJ90" s="274"/>
      <c r="BK90" s="290"/>
      <c r="BL90" s="274"/>
      <c r="BM90" s="274"/>
      <c r="BN90" s="274"/>
      <c r="BO90" s="274"/>
      <c r="BP90" s="274"/>
      <c r="BQ90" s="274"/>
    </row>
    <row r="91" spans="10:69" s="100" customFormat="1" ht="22.5" customHeight="1">
      <c r="J91" s="290"/>
      <c r="K91" s="274"/>
      <c r="L91" s="274"/>
      <c r="M91" s="274"/>
      <c r="N91" s="274"/>
      <c r="O91" s="274"/>
      <c r="P91" s="274"/>
      <c r="Q91" s="274"/>
      <c r="R91" s="290"/>
      <c r="S91" s="274"/>
      <c r="T91" s="274"/>
      <c r="U91" s="274"/>
      <c r="V91" s="274"/>
      <c r="W91" s="274"/>
      <c r="X91" s="274"/>
      <c r="Y91" s="274"/>
      <c r="Z91" s="290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90"/>
      <c r="AL91" s="274"/>
      <c r="AM91" s="274"/>
      <c r="AN91" s="274"/>
      <c r="AO91" s="274"/>
      <c r="AP91" s="274"/>
      <c r="AQ91" s="274"/>
      <c r="AR91" s="274"/>
      <c r="AS91" s="290"/>
      <c r="AT91" s="274"/>
      <c r="AU91" s="274"/>
      <c r="AV91" s="274"/>
      <c r="AW91" s="274"/>
      <c r="AX91" s="274"/>
      <c r="AY91" s="274"/>
      <c r="AZ91" s="274"/>
      <c r="BA91" s="274"/>
      <c r="BB91" s="290"/>
      <c r="BC91" s="274"/>
      <c r="BD91" s="274"/>
      <c r="BE91" s="274"/>
      <c r="BF91" s="274"/>
      <c r="BG91" s="274"/>
      <c r="BH91" s="274"/>
      <c r="BI91" s="274"/>
      <c r="BJ91" s="274"/>
      <c r="BK91" s="290"/>
      <c r="BL91" s="274"/>
      <c r="BM91" s="274"/>
      <c r="BN91" s="274"/>
      <c r="BO91" s="274"/>
      <c r="BP91" s="274"/>
      <c r="BQ91" s="274"/>
    </row>
    <row r="92" spans="10:69" s="100" customFormat="1" ht="22.5" customHeight="1">
      <c r="J92" s="290"/>
      <c r="K92" s="274"/>
      <c r="L92" s="274"/>
      <c r="M92" s="274"/>
      <c r="N92" s="274"/>
      <c r="O92" s="274"/>
      <c r="P92" s="274"/>
      <c r="Q92" s="274"/>
      <c r="R92" s="290"/>
      <c r="S92" s="274"/>
      <c r="T92" s="274"/>
      <c r="U92" s="274"/>
      <c r="V92" s="274"/>
      <c r="W92" s="274"/>
      <c r="X92" s="274"/>
      <c r="Y92" s="274"/>
      <c r="Z92" s="290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90"/>
      <c r="AL92" s="274"/>
      <c r="AM92" s="274"/>
      <c r="AN92" s="274"/>
      <c r="AO92" s="274"/>
      <c r="AP92" s="274"/>
      <c r="AQ92" s="274"/>
      <c r="AR92" s="274"/>
      <c r="AS92" s="290"/>
      <c r="AT92" s="274"/>
      <c r="AU92" s="274"/>
      <c r="AV92" s="274"/>
      <c r="AW92" s="274"/>
      <c r="AX92" s="274"/>
      <c r="AY92" s="274"/>
      <c r="AZ92" s="274"/>
      <c r="BA92" s="274"/>
      <c r="BB92" s="290"/>
      <c r="BC92" s="274"/>
      <c r="BD92" s="274"/>
      <c r="BE92" s="274"/>
      <c r="BF92" s="274"/>
      <c r="BG92" s="274"/>
      <c r="BH92" s="274"/>
      <c r="BI92" s="274"/>
      <c r="BJ92" s="274"/>
      <c r="BK92" s="290"/>
      <c r="BL92" s="274"/>
      <c r="BM92" s="274"/>
      <c r="BN92" s="274"/>
      <c r="BO92" s="274"/>
      <c r="BP92" s="274"/>
      <c r="BQ92" s="274"/>
    </row>
    <row r="93" spans="10:69" s="100" customFormat="1" ht="22.5" customHeight="1">
      <c r="J93" s="290"/>
      <c r="K93" s="274"/>
      <c r="L93" s="274"/>
      <c r="M93" s="274"/>
      <c r="N93" s="274"/>
      <c r="O93" s="274"/>
      <c r="P93" s="274"/>
      <c r="Q93" s="274"/>
      <c r="R93" s="290"/>
      <c r="S93" s="274"/>
      <c r="T93" s="274"/>
      <c r="U93" s="274"/>
      <c r="V93" s="274"/>
      <c r="W93" s="274"/>
      <c r="X93" s="274"/>
      <c r="Y93" s="274"/>
      <c r="Z93" s="290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90"/>
      <c r="AL93" s="274"/>
      <c r="AM93" s="274"/>
      <c r="AN93" s="274"/>
      <c r="AO93" s="274"/>
      <c r="AP93" s="274"/>
      <c r="AQ93" s="274"/>
      <c r="AR93" s="274"/>
      <c r="AS93" s="290"/>
      <c r="AT93" s="274"/>
      <c r="AU93" s="274"/>
      <c r="AV93" s="274"/>
      <c r="AW93" s="274"/>
      <c r="AX93" s="274"/>
      <c r="AY93" s="274"/>
      <c r="AZ93" s="274"/>
      <c r="BA93" s="274"/>
      <c r="BB93" s="290"/>
      <c r="BC93" s="274"/>
      <c r="BD93" s="274"/>
      <c r="BE93" s="274"/>
      <c r="BF93" s="274"/>
      <c r="BG93" s="274"/>
      <c r="BH93" s="274"/>
      <c r="BI93" s="274"/>
      <c r="BJ93" s="274"/>
      <c r="BK93" s="290"/>
      <c r="BL93" s="274"/>
      <c r="BM93" s="274"/>
      <c r="BN93" s="274"/>
      <c r="BO93" s="274"/>
      <c r="BP93" s="274"/>
      <c r="BQ93" s="274"/>
    </row>
    <row r="94" spans="10:69" s="100" customFormat="1" ht="22.5" customHeight="1">
      <c r="J94" s="290"/>
      <c r="K94" s="274"/>
      <c r="L94" s="274"/>
      <c r="M94" s="274"/>
      <c r="N94" s="274"/>
      <c r="O94" s="274"/>
      <c r="P94" s="274"/>
      <c r="Q94" s="274"/>
      <c r="R94" s="290"/>
      <c r="S94" s="274"/>
      <c r="T94" s="274"/>
      <c r="U94" s="274"/>
      <c r="V94" s="274"/>
      <c r="W94" s="274"/>
      <c r="X94" s="274"/>
      <c r="Y94" s="274"/>
      <c r="Z94" s="290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90"/>
      <c r="AL94" s="274"/>
      <c r="AM94" s="274"/>
      <c r="AN94" s="274"/>
      <c r="AO94" s="274"/>
      <c r="AP94" s="274"/>
      <c r="AQ94" s="274"/>
      <c r="AR94" s="274"/>
      <c r="AS94" s="290"/>
      <c r="AT94" s="274"/>
      <c r="AU94" s="274"/>
      <c r="AV94" s="274"/>
      <c r="AW94" s="274"/>
      <c r="AX94" s="274"/>
      <c r="AY94" s="274"/>
      <c r="AZ94" s="274"/>
      <c r="BA94" s="274"/>
      <c r="BB94" s="290"/>
      <c r="BC94" s="274"/>
      <c r="BD94" s="274"/>
      <c r="BE94" s="274"/>
      <c r="BF94" s="274"/>
      <c r="BG94" s="274"/>
      <c r="BH94" s="274"/>
      <c r="BI94" s="274"/>
      <c r="BJ94" s="274"/>
      <c r="BK94" s="290"/>
      <c r="BL94" s="274"/>
      <c r="BM94" s="274"/>
      <c r="BN94" s="274"/>
      <c r="BO94" s="274"/>
      <c r="BP94" s="274"/>
      <c r="BQ94" s="274"/>
    </row>
    <row r="95" spans="10:69" s="100" customFormat="1" ht="22.5" customHeight="1">
      <c r="J95" s="290"/>
      <c r="K95" s="274"/>
      <c r="L95" s="274"/>
      <c r="M95" s="274"/>
      <c r="N95" s="274"/>
      <c r="O95" s="274"/>
      <c r="P95" s="274"/>
      <c r="Q95" s="274"/>
      <c r="R95" s="290"/>
      <c r="S95" s="274"/>
      <c r="T95" s="274"/>
      <c r="U95" s="274"/>
      <c r="V95" s="274"/>
      <c r="W95" s="274"/>
      <c r="X95" s="274"/>
      <c r="Y95" s="274"/>
      <c r="Z95" s="290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90"/>
      <c r="AL95" s="274"/>
      <c r="AM95" s="274"/>
      <c r="AN95" s="274"/>
      <c r="AO95" s="274"/>
      <c r="AP95" s="274"/>
      <c r="AQ95" s="274"/>
      <c r="AR95" s="274"/>
      <c r="AS95" s="290"/>
      <c r="AT95" s="274"/>
      <c r="AU95" s="274"/>
      <c r="AV95" s="274"/>
      <c r="AW95" s="274"/>
      <c r="AX95" s="274"/>
      <c r="AY95" s="274"/>
      <c r="AZ95" s="274"/>
      <c r="BA95" s="274"/>
      <c r="BB95" s="290"/>
      <c r="BC95" s="274"/>
      <c r="BD95" s="274"/>
      <c r="BE95" s="274"/>
      <c r="BF95" s="274"/>
      <c r="BG95" s="291"/>
      <c r="BH95" s="291"/>
      <c r="BI95" s="274"/>
      <c r="BJ95" s="274"/>
      <c r="BK95" s="290"/>
      <c r="BL95" s="274"/>
      <c r="BM95" s="274"/>
      <c r="BN95" s="274"/>
      <c r="BO95" s="274"/>
      <c r="BP95" s="274"/>
      <c r="BQ95" s="274"/>
    </row>
    <row r="96" spans="10:69" s="100" customFormat="1" ht="22.5" customHeight="1">
      <c r="J96" s="290"/>
      <c r="K96" s="274"/>
      <c r="L96" s="274"/>
      <c r="M96" s="274"/>
      <c r="N96" s="274"/>
      <c r="O96" s="274"/>
      <c r="P96" s="274"/>
      <c r="Q96" s="274"/>
      <c r="R96" s="290"/>
      <c r="S96" s="274"/>
      <c r="T96" s="274"/>
      <c r="U96" s="274"/>
      <c r="V96" s="274"/>
      <c r="W96" s="274"/>
      <c r="X96" s="274"/>
      <c r="Y96" s="274"/>
      <c r="Z96" s="290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90"/>
      <c r="AL96" s="274"/>
      <c r="AM96" s="274"/>
      <c r="AN96" s="274"/>
      <c r="AO96" s="274"/>
      <c r="AP96" s="274"/>
      <c r="AQ96" s="274"/>
      <c r="AR96" s="274"/>
      <c r="AS96" s="290"/>
      <c r="AT96" s="274"/>
      <c r="AU96" s="274"/>
      <c r="AV96" s="274"/>
      <c r="AW96" s="274"/>
      <c r="AX96" s="274"/>
      <c r="AY96" s="274"/>
      <c r="AZ96" s="274"/>
      <c r="BA96" s="274"/>
      <c r="BB96" s="290"/>
      <c r="BC96" s="177"/>
      <c r="BD96" s="177"/>
      <c r="BE96" s="177"/>
      <c r="BF96" s="177"/>
      <c r="BG96" s="177"/>
      <c r="BH96" s="177"/>
      <c r="BI96" s="177"/>
      <c r="BJ96" s="274"/>
      <c r="BK96" s="290"/>
      <c r="BL96" s="274"/>
      <c r="BM96" s="274"/>
      <c r="BN96" s="274"/>
      <c r="BO96" s="274"/>
      <c r="BP96" s="274"/>
      <c r="BQ96" s="274"/>
    </row>
    <row r="97" spans="2:69" s="100" customFormat="1" ht="22.5" customHeight="1">
      <c r="J97" s="290"/>
      <c r="K97" s="274"/>
      <c r="L97" s="274"/>
      <c r="M97" s="274"/>
      <c r="N97" s="274"/>
      <c r="O97" s="274"/>
      <c r="P97" s="274"/>
      <c r="Q97" s="274"/>
      <c r="R97" s="290"/>
      <c r="S97" s="274"/>
      <c r="T97" s="274"/>
      <c r="U97" s="274"/>
      <c r="V97" s="274"/>
      <c r="W97" s="274"/>
      <c r="X97" s="274"/>
      <c r="Y97" s="274"/>
      <c r="Z97" s="290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90"/>
      <c r="AL97" s="274"/>
      <c r="AM97" s="274"/>
      <c r="AN97" s="274"/>
      <c r="AO97" s="274"/>
      <c r="AP97" s="274"/>
      <c r="AQ97" s="274"/>
      <c r="AR97" s="274"/>
      <c r="AS97" s="290"/>
      <c r="AT97" s="274"/>
      <c r="AU97" s="274"/>
      <c r="AV97" s="274"/>
      <c r="AW97" s="274"/>
      <c r="AX97" s="274"/>
      <c r="AY97" s="274"/>
      <c r="AZ97" s="274"/>
      <c r="BA97" s="274"/>
      <c r="BB97" s="290"/>
      <c r="BC97" s="292"/>
      <c r="BD97" s="292"/>
      <c r="BE97" s="292"/>
      <c r="BF97" s="292"/>
      <c r="BG97" s="292"/>
      <c r="BH97" s="292"/>
      <c r="BI97" s="292"/>
      <c r="BJ97" s="274"/>
      <c r="BK97" s="290"/>
      <c r="BL97" s="274"/>
      <c r="BM97" s="274"/>
      <c r="BN97" s="274"/>
      <c r="BO97" s="274"/>
      <c r="BP97" s="274"/>
      <c r="BQ97" s="274"/>
    </row>
    <row r="98" spans="2:69" s="100" customFormat="1" ht="22.5" customHeight="1">
      <c r="J98" s="290"/>
      <c r="K98" s="274"/>
      <c r="L98" s="274"/>
      <c r="M98" s="274"/>
      <c r="N98" s="274"/>
      <c r="O98" s="274"/>
      <c r="P98" s="274"/>
      <c r="Q98" s="274"/>
      <c r="R98" s="290"/>
      <c r="S98" s="274"/>
      <c r="T98" s="274"/>
      <c r="U98" s="274"/>
      <c r="V98" s="274"/>
      <c r="W98" s="274"/>
      <c r="X98" s="274"/>
      <c r="Y98" s="274"/>
      <c r="Z98" s="290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90"/>
      <c r="AL98" s="274"/>
      <c r="AM98" s="274"/>
      <c r="AN98" s="274"/>
      <c r="AO98" s="274"/>
      <c r="AP98" s="274"/>
      <c r="AQ98" s="274"/>
      <c r="AR98" s="274"/>
      <c r="AS98" s="290"/>
      <c r="AT98" s="274"/>
      <c r="AU98" s="274"/>
      <c r="AV98" s="274"/>
      <c r="AW98" s="274"/>
      <c r="AX98" s="274"/>
      <c r="AY98" s="274"/>
      <c r="AZ98" s="274"/>
      <c r="BA98" s="274"/>
      <c r="BB98" s="290"/>
      <c r="BC98" s="292"/>
      <c r="BD98" s="292"/>
      <c r="BE98" s="292"/>
      <c r="BF98" s="292"/>
      <c r="BG98" s="292"/>
      <c r="BH98" s="292"/>
      <c r="BI98" s="292"/>
      <c r="BJ98" s="274"/>
      <c r="BK98" s="290"/>
      <c r="BL98" s="274"/>
      <c r="BM98" s="274"/>
      <c r="BN98" s="274"/>
      <c r="BO98" s="274"/>
      <c r="BP98" s="274"/>
      <c r="BQ98" s="274"/>
    </row>
    <row r="99" spans="2:69" s="100" customFormat="1" ht="22.5" customHeight="1">
      <c r="J99" s="290"/>
      <c r="K99" s="274"/>
      <c r="L99" s="274"/>
      <c r="M99" s="274"/>
      <c r="N99" s="274"/>
      <c r="O99" s="274"/>
      <c r="P99" s="274"/>
      <c r="Q99" s="274"/>
      <c r="R99" s="290"/>
      <c r="S99" s="274"/>
      <c r="T99" s="274"/>
      <c r="U99" s="274"/>
      <c r="V99" s="274"/>
      <c r="W99" s="274"/>
      <c r="X99" s="274"/>
      <c r="Y99" s="274"/>
      <c r="Z99" s="290"/>
      <c r="AA99" s="274"/>
      <c r="AB99" s="274"/>
      <c r="AC99" s="274"/>
      <c r="AD99" s="274"/>
      <c r="AE99" s="274"/>
      <c r="AF99" s="274"/>
      <c r="AG99" s="274"/>
      <c r="AH99" s="274"/>
      <c r="AI99" s="274"/>
      <c r="AJ99" s="274"/>
      <c r="AK99" s="290"/>
      <c r="AL99" s="274"/>
      <c r="AM99" s="274"/>
      <c r="AN99" s="274"/>
      <c r="AO99" s="274"/>
      <c r="AP99" s="274"/>
      <c r="AQ99" s="274"/>
      <c r="AR99" s="274"/>
      <c r="AS99" s="290"/>
      <c r="AT99" s="274"/>
      <c r="AU99" s="274"/>
      <c r="AV99" s="274"/>
      <c r="AW99" s="274"/>
      <c r="AX99" s="274"/>
      <c r="AY99" s="274"/>
      <c r="AZ99" s="274"/>
      <c r="BA99" s="274"/>
      <c r="BB99" s="290"/>
      <c r="BC99" s="289"/>
      <c r="BD99" s="289"/>
      <c r="BE99" s="289"/>
      <c r="BF99" s="289"/>
      <c r="BG99" s="289"/>
      <c r="BH99" s="289"/>
      <c r="BI99" s="289"/>
      <c r="BJ99" s="274"/>
      <c r="BK99" s="290"/>
      <c r="BL99" s="274"/>
      <c r="BM99" s="274"/>
      <c r="BN99" s="274"/>
      <c r="BO99" s="274"/>
      <c r="BP99" s="274"/>
      <c r="BQ99" s="274"/>
    </row>
    <row r="100" spans="2:69" s="100" customFormat="1" ht="22.5" customHeight="1">
      <c r="J100" s="290"/>
      <c r="K100" s="274"/>
      <c r="L100" s="274"/>
      <c r="M100" s="274"/>
      <c r="N100" s="274"/>
      <c r="O100" s="274"/>
      <c r="P100" s="274"/>
      <c r="Q100" s="274"/>
      <c r="R100" s="290"/>
      <c r="S100" s="274"/>
      <c r="T100" s="274"/>
      <c r="U100" s="274"/>
      <c r="V100" s="274"/>
      <c r="W100" s="274"/>
      <c r="X100" s="274"/>
      <c r="Y100" s="274"/>
      <c r="Z100" s="290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274"/>
      <c r="AK100" s="290"/>
      <c r="AL100" s="274"/>
      <c r="AM100" s="274"/>
      <c r="AN100" s="274"/>
      <c r="AO100" s="274"/>
      <c r="AP100" s="274"/>
      <c r="AQ100" s="274"/>
      <c r="AR100" s="274"/>
      <c r="AS100" s="290"/>
      <c r="AT100" s="274"/>
      <c r="AU100" s="274"/>
      <c r="AV100" s="274"/>
      <c r="AW100" s="274"/>
      <c r="AX100" s="274"/>
      <c r="AY100" s="274"/>
      <c r="AZ100" s="274"/>
      <c r="BA100" s="274"/>
      <c r="BB100" s="290"/>
      <c r="BC100" s="289"/>
      <c r="BD100" s="289"/>
      <c r="BE100" s="289"/>
      <c r="BF100" s="289"/>
      <c r="BG100" s="289"/>
      <c r="BH100" s="289"/>
      <c r="BI100" s="289"/>
      <c r="BJ100" s="274"/>
      <c r="BK100" s="290"/>
      <c r="BL100" s="274"/>
      <c r="BM100" s="274"/>
      <c r="BN100" s="274"/>
      <c r="BO100" s="274"/>
      <c r="BP100" s="274"/>
      <c r="BQ100" s="274"/>
    </row>
    <row r="101" spans="2:69" s="100" customFormat="1" ht="22.5" customHeight="1">
      <c r="E101" s="8"/>
      <c r="F101" s="8"/>
      <c r="G101" s="8"/>
      <c r="H101" s="40"/>
      <c r="I101" s="8"/>
      <c r="J101" s="290"/>
      <c r="K101" s="274"/>
      <c r="L101" s="274"/>
      <c r="M101" s="274"/>
      <c r="N101" s="274"/>
      <c r="O101" s="274"/>
      <c r="P101" s="274"/>
      <c r="Q101" s="274"/>
      <c r="R101" s="290"/>
      <c r="S101" s="274"/>
      <c r="T101" s="274"/>
      <c r="U101" s="274"/>
      <c r="V101" s="274"/>
      <c r="W101" s="274"/>
      <c r="X101" s="274"/>
      <c r="Y101" s="274"/>
      <c r="Z101" s="290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90"/>
      <c r="AL101" s="274"/>
      <c r="AM101" s="274"/>
      <c r="AN101" s="274"/>
      <c r="AO101" s="274"/>
      <c r="AP101" s="274"/>
      <c r="AQ101" s="274"/>
      <c r="AR101" s="274"/>
      <c r="AS101" s="290"/>
      <c r="AT101" s="274"/>
      <c r="AU101" s="274"/>
      <c r="AV101" s="274"/>
      <c r="AW101" s="274"/>
      <c r="AX101" s="274"/>
      <c r="AY101" s="274"/>
      <c r="AZ101" s="274"/>
      <c r="BA101" s="177"/>
      <c r="BB101" s="288"/>
      <c r="BC101" s="289"/>
      <c r="BD101" s="289"/>
      <c r="BE101" s="289"/>
      <c r="BF101" s="289"/>
      <c r="BG101" s="289"/>
      <c r="BH101" s="289"/>
      <c r="BI101" s="289"/>
      <c r="BJ101" s="177"/>
      <c r="BK101" s="290"/>
      <c r="BL101" s="274"/>
      <c r="BM101" s="274"/>
      <c r="BN101" s="274"/>
      <c r="BO101" s="274"/>
      <c r="BP101" s="274"/>
      <c r="BQ101" s="274"/>
    </row>
    <row r="102" spans="2:69" s="100" customFormat="1" ht="22.5" customHeight="1">
      <c r="B102" s="219"/>
      <c r="H102" s="219"/>
      <c r="J102" s="290"/>
      <c r="K102" s="274"/>
      <c r="L102" s="274"/>
      <c r="M102" s="274"/>
      <c r="N102" s="274"/>
      <c r="O102" s="274"/>
      <c r="P102" s="274"/>
      <c r="Q102" s="274"/>
      <c r="R102" s="290"/>
      <c r="S102" s="274"/>
      <c r="T102" s="274"/>
      <c r="U102" s="274"/>
      <c r="V102" s="274"/>
      <c r="W102" s="274"/>
      <c r="X102" s="274"/>
      <c r="Y102" s="274"/>
      <c r="Z102" s="290"/>
      <c r="AA102" s="274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88"/>
      <c r="AL102" s="274"/>
      <c r="AM102" s="274"/>
      <c r="AN102" s="274"/>
      <c r="AO102" s="274"/>
      <c r="AP102" s="291"/>
      <c r="AQ102" s="274"/>
      <c r="AR102" s="274"/>
      <c r="AS102" s="290"/>
      <c r="AT102" s="274"/>
      <c r="AU102" s="274"/>
      <c r="AV102" s="274"/>
      <c r="AW102" s="274"/>
      <c r="AX102" s="274"/>
      <c r="AY102" s="274"/>
      <c r="AZ102" s="274"/>
      <c r="BA102" s="292"/>
      <c r="BB102" s="290"/>
      <c r="BC102" s="289"/>
      <c r="BD102" s="289"/>
      <c r="BE102" s="289"/>
      <c r="BF102" s="289"/>
      <c r="BG102" s="289"/>
      <c r="BH102" s="289"/>
      <c r="BI102" s="289"/>
      <c r="BJ102" s="292"/>
      <c r="BK102" s="293"/>
      <c r="BL102" s="274"/>
      <c r="BM102" s="274"/>
      <c r="BN102" s="274"/>
      <c r="BO102" s="274"/>
      <c r="BP102" s="274"/>
      <c r="BQ102" s="274"/>
    </row>
    <row r="103" spans="2:69" ht="22.5" customHeight="1">
      <c r="BA103" s="292"/>
      <c r="BB103" s="293"/>
      <c r="BC103" s="289"/>
      <c r="BD103" s="289"/>
      <c r="BE103" s="289"/>
      <c r="BF103" s="289"/>
      <c r="BG103" s="289"/>
      <c r="BH103" s="289"/>
      <c r="BI103" s="289"/>
      <c r="BJ103" s="292"/>
      <c r="BK103" s="293"/>
      <c r="BL103" s="274"/>
      <c r="BM103" s="274"/>
      <c r="BN103" s="274"/>
      <c r="BO103" s="274"/>
      <c r="BP103" s="274"/>
      <c r="BQ103" s="274"/>
    </row>
    <row r="104" spans="2:69" s="217" customFormat="1" ht="22.5" customHeight="1">
      <c r="B104" s="40"/>
      <c r="H104" s="40"/>
      <c r="J104" s="293"/>
      <c r="K104" s="292"/>
      <c r="L104" s="292"/>
      <c r="M104" s="292"/>
      <c r="N104" s="292"/>
      <c r="O104" s="292"/>
      <c r="P104" s="292"/>
      <c r="Q104" s="292"/>
      <c r="R104" s="293"/>
      <c r="S104" s="292"/>
      <c r="T104" s="292"/>
      <c r="U104" s="292"/>
      <c r="V104" s="292"/>
      <c r="W104" s="292"/>
      <c r="X104" s="292"/>
      <c r="Y104" s="292"/>
      <c r="Z104" s="293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3"/>
      <c r="AL104" s="292"/>
      <c r="AM104" s="292"/>
      <c r="AN104" s="292"/>
      <c r="AO104" s="292"/>
      <c r="AP104" s="292"/>
      <c r="AQ104" s="292"/>
      <c r="AR104" s="292"/>
      <c r="AS104" s="293"/>
      <c r="AT104" s="292"/>
      <c r="AU104" s="292"/>
      <c r="AV104" s="292"/>
      <c r="AW104" s="292"/>
      <c r="AX104" s="292"/>
      <c r="AY104" s="292"/>
      <c r="AZ104" s="292"/>
      <c r="BA104" s="289"/>
      <c r="BB104" s="293"/>
      <c r="BC104" s="289"/>
      <c r="BD104" s="289"/>
      <c r="BE104" s="289"/>
      <c r="BF104" s="289"/>
      <c r="BG104" s="289"/>
      <c r="BH104" s="289"/>
      <c r="BI104" s="289"/>
      <c r="BJ104" s="289"/>
      <c r="BK104" s="294"/>
      <c r="BL104" s="274"/>
      <c r="BM104" s="274"/>
      <c r="BN104" s="274"/>
      <c r="BO104" s="274"/>
      <c r="BP104" s="274"/>
      <c r="BQ104" s="274"/>
    </row>
    <row r="105" spans="2:69" s="217" customFormat="1" ht="22.5" customHeight="1">
      <c r="B105" s="40"/>
      <c r="D105" s="227"/>
      <c r="E105" s="227"/>
      <c r="F105" s="227"/>
      <c r="G105" s="227"/>
      <c r="H105" s="219"/>
      <c r="I105" s="227"/>
      <c r="J105" s="293"/>
      <c r="K105" s="292"/>
      <c r="L105" s="292"/>
      <c r="M105" s="292"/>
      <c r="N105" s="292"/>
      <c r="O105" s="292"/>
      <c r="P105" s="292"/>
      <c r="Q105" s="292"/>
      <c r="R105" s="293"/>
      <c r="S105" s="292"/>
      <c r="T105" s="292"/>
      <c r="U105" s="292"/>
      <c r="V105" s="292"/>
      <c r="W105" s="292"/>
      <c r="X105" s="292"/>
      <c r="Y105" s="292"/>
      <c r="Z105" s="293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3"/>
      <c r="AL105" s="292"/>
      <c r="AM105" s="292"/>
      <c r="AN105" s="292"/>
      <c r="AO105" s="292"/>
      <c r="AP105" s="292"/>
      <c r="AQ105" s="292"/>
      <c r="AR105" s="292"/>
      <c r="AS105" s="293"/>
      <c r="AT105" s="292"/>
      <c r="AU105" s="292"/>
      <c r="AV105" s="292"/>
      <c r="AW105" s="292"/>
      <c r="AX105" s="292"/>
      <c r="AY105" s="292"/>
      <c r="AZ105" s="292"/>
      <c r="BA105" s="289"/>
      <c r="BB105" s="294"/>
      <c r="BC105" s="291"/>
      <c r="BD105" s="291"/>
      <c r="BE105" s="291"/>
      <c r="BF105" s="291"/>
      <c r="BG105" s="291"/>
      <c r="BH105" s="291"/>
      <c r="BI105" s="291"/>
      <c r="BJ105" s="289"/>
      <c r="BK105" s="294"/>
      <c r="BL105" s="274"/>
      <c r="BM105" s="274"/>
      <c r="BN105" s="274"/>
      <c r="BO105" s="274"/>
      <c r="BP105" s="274"/>
      <c r="BQ105" s="274"/>
    </row>
    <row r="106" spans="2:69" s="40" customFormat="1" ht="22.5" customHeight="1">
      <c r="J106" s="294"/>
      <c r="K106" s="289"/>
      <c r="L106" s="289"/>
      <c r="M106" s="289"/>
      <c r="N106" s="289"/>
      <c r="O106" s="289"/>
      <c r="P106" s="289"/>
      <c r="Q106" s="289"/>
      <c r="R106" s="294"/>
      <c r="S106" s="289"/>
      <c r="T106" s="289"/>
      <c r="U106" s="289"/>
      <c r="V106" s="289"/>
      <c r="W106" s="289"/>
      <c r="X106" s="289"/>
      <c r="Y106" s="289"/>
      <c r="Z106" s="294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94"/>
      <c r="AL106" s="289"/>
      <c r="AM106" s="289"/>
      <c r="AN106" s="289"/>
      <c r="AO106" s="289"/>
      <c r="AP106" s="289"/>
      <c r="AQ106" s="289"/>
      <c r="AR106" s="289"/>
      <c r="AS106" s="294"/>
      <c r="AT106" s="289"/>
      <c r="AU106" s="289"/>
      <c r="AV106" s="289"/>
      <c r="AW106" s="289"/>
      <c r="AX106" s="289"/>
      <c r="AY106" s="289"/>
      <c r="AZ106" s="289"/>
      <c r="BA106" s="289"/>
      <c r="BB106" s="294"/>
      <c r="BC106" s="291"/>
      <c r="BD106" s="291"/>
      <c r="BE106" s="291"/>
      <c r="BF106" s="291"/>
      <c r="BG106" s="291"/>
      <c r="BH106" s="291"/>
      <c r="BI106" s="291"/>
      <c r="BJ106" s="289"/>
      <c r="BK106" s="294"/>
      <c r="BL106" s="274"/>
      <c r="BM106" s="274"/>
      <c r="BN106" s="274"/>
      <c r="BO106" s="274"/>
      <c r="BP106" s="274"/>
      <c r="BQ106" s="274"/>
    </row>
    <row r="107" spans="2:69" s="40" customFormat="1" ht="22.5" customHeight="1">
      <c r="J107" s="294"/>
      <c r="K107" s="289"/>
      <c r="L107" s="289"/>
      <c r="M107" s="289"/>
      <c r="N107" s="289"/>
      <c r="O107" s="289"/>
      <c r="P107" s="289"/>
      <c r="Q107" s="289"/>
      <c r="R107" s="294"/>
      <c r="S107" s="289"/>
      <c r="T107" s="289"/>
      <c r="U107" s="289"/>
      <c r="V107" s="289"/>
      <c r="W107" s="289"/>
      <c r="X107" s="289"/>
      <c r="Y107" s="289"/>
      <c r="Z107" s="294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94"/>
      <c r="AL107" s="289"/>
      <c r="AM107" s="289"/>
      <c r="AN107" s="289"/>
      <c r="AO107" s="289"/>
      <c r="AP107" s="289"/>
      <c r="AQ107" s="289"/>
      <c r="AR107" s="289"/>
      <c r="AS107" s="294"/>
      <c r="AT107" s="289"/>
      <c r="AU107" s="289"/>
      <c r="AV107" s="289"/>
      <c r="AW107" s="289"/>
      <c r="AX107" s="289"/>
      <c r="AY107" s="289"/>
      <c r="AZ107" s="289"/>
      <c r="BA107" s="289"/>
      <c r="BB107" s="294"/>
      <c r="BC107" s="291"/>
      <c r="BD107" s="291"/>
      <c r="BE107" s="291"/>
      <c r="BF107" s="291"/>
      <c r="BG107" s="291"/>
      <c r="BH107" s="291"/>
      <c r="BI107" s="291"/>
      <c r="BJ107" s="289"/>
      <c r="BK107" s="294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4"/>
      <c r="K108" s="289"/>
      <c r="L108" s="289"/>
      <c r="M108" s="289"/>
      <c r="N108" s="289"/>
      <c r="O108" s="289"/>
      <c r="P108" s="289"/>
      <c r="Q108" s="289"/>
      <c r="R108" s="294"/>
      <c r="S108" s="289"/>
      <c r="T108" s="289"/>
      <c r="U108" s="289"/>
      <c r="V108" s="289"/>
      <c r="W108" s="289"/>
      <c r="X108" s="289"/>
      <c r="Y108" s="289"/>
      <c r="Z108" s="294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94"/>
      <c r="AL108" s="289"/>
      <c r="AM108" s="289"/>
      <c r="AN108" s="289"/>
      <c r="AO108" s="289"/>
      <c r="AP108" s="289"/>
      <c r="AQ108" s="289"/>
      <c r="AR108" s="289"/>
      <c r="AS108" s="294"/>
      <c r="AT108" s="289"/>
      <c r="AU108" s="289"/>
      <c r="AV108" s="289"/>
      <c r="AW108" s="289"/>
      <c r="AX108" s="289"/>
      <c r="AY108" s="289"/>
      <c r="AZ108" s="289"/>
      <c r="BA108" s="289"/>
      <c r="BB108" s="294"/>
      <c r="BC108" s="291"/>
      <c r="BD108" s="291"/>
      <c r="BE108" s="291"/>
      <c r="BF108" s="291"/>
      <c r="BG108" s="291"/>
      <c r="BH108" s="291"/>
      <c r="BI108" s="291"/>
      <c r="BJ108" s="289"/>
      <c r="BK108" s="294"/>
      <c r="BL108" s="292"/>
      <c r="BM108" s="292"/>
      <c r="BN108" s="292"/>
      <c r="BO108" s="292"/>
      <c r="BP108" s="292"/>
      <c r="BQ108" s="292"/>
    </row>
    <row r="109" spans="2:69" s="40" customFormat="1" ht="22.5" customHeight="1">
      <c r="J109" s="294"/>
      <c r="K109" s="289"/>
      <c r="L109" s="289"/>
      <c r="M109" s="289"/>
      <c r="N109" s="289"/>
      <c r="O109" s="289"/>
      <c r="P109" s="289"/>
      <c r="Q109" s="289"/>
      <c r="R109" s="294"/>
      <c r="S109" s="289"/>
      <c r="T109" s="289"/>
      <c r="U109" s="289"/>
      <c r="V109" s="289"/>
      <c r="W109" s="289"/>
      <c r="X109" s="289"/>
      <c r="Y109" s="289"/>
      <c r="Z109" s="294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94"/>
      <c r="AL109" s="289"/>
      <c r="AM109" s="289"/>
      <c r="AN109" s="289"/>
      <c r="AO109" s="289"/>
      <c r="AP109" s="289"/>
      <c r="AQ109" s="289"/>
      <c r="AR109" s="289"/>
      <c r="AS109" s="294"/>
      <c r="AT109" s="289"/>
      <c r="AU109" s="289"/>
      <c r="AV109" s="289"/>
      <c r="AW109" s="289"/>
      <c r="AX109" s="289"/>
      <c r="AY109" s="289"/>
      <c r="AZ109" s="289"/>
      <c r="BA109" s="289"/>
      <c r="BB109" s="294"/>
      <c r="BC109" s="295"/>
      <c r="BD109" s="295"/>
      <c r="BE109" s="295"/>
      <c r="BF109" s="295"/>
      <c r="BG109" s="295"/>
      <c r="BH109" s="295"/>
      <c r="BI109" s="295"/>
      <c r="BJ109" s="289"/>
      <c r="BK109" s="294"/>
      <c r="BL109" s="292"/>
      <c r="BM109" s="292"/>
      <c r="BN109" s="292"/>
      <c r="BO109" s="292"/>
      <c r="BP109" s="292"/>
      <c r="BQ109" s="292"/>
    </row>
    <row r="110" spans="2:69" s="40" customFormat="1" ht="22.5" customHeight="1">
      <c r="J110" s="294"/>
      <c r="K110" s="289"/>
      <c r="L110" s="289"/>
      <c r="M110" s="289"/>
      <c r="N110" s="289"/>
      <c r="O110" s="289"/>
      <c r="P110" s="289"/>
      <c r="Q110" s="289"/>
      <c r="R110" s="294"/>
      <c r="S110" s="289"/>
      <c r="T110" s="289"/>
      <c r="U110" s="289"/>
      <c r="V110" s="289"/>
      <c r="W110" s="289"/>
      <c r="X110" s="289"/>
      <c r="Y110" s="289"/>
      <c r="Z110" s="294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94"/>
      <c r="AL110" s="289"/>
      <c r="AM110" s="289"/>
      <c r="AN110" s="289"/>
      <c r="AO110" s="289"/>
      <c r="AP110" s="289"/>
      <c r="AQ110" s="289"/>
      <c r="AR110" s="289"/>
      <c r="AS110" s="294"/>
      <c r="AT110" s="289"/>
      <c r="AU110" s="289"/>
      <c r="AV110" s="289"/>
      <c r="AW110" s="289"/>
      <c r="AX110" s="289"/>
      <c r="AY110" s="289"/>
      <c r="AZ110" s="289"/>
      <c r="BA110" s="291"/>
      <c r="BB110" s="294"/>
      <c r="BC110" s="291"/>
      <c r="BD110" s="291"/>
      <c r="BE110" s="291"/>
      <c r="BF110" s="291"/>
      <c r="BG110" s="291"/>
      <c r="BH110" s="291"/>
      <c r="BI110" s="291"/>
      <c r="BJ110" s="291"/>
      <c r="BK110" s="294"/>
      <c r="BL110" s="289"/>
      <c r="BM110" s="289"/>
      <c r="BN110" s="289"/>
      <c r="BO110" s="289"/>
      <c r="BP110" s="289"/>
      <c r="BQ110" s="289"/>
    </row>
    <row r="111" spans="2:69" s="40" customFormat="1" ht="22.5" customHeight="1">
      <c r="J111" s="294"/>
      <c r="K111" s="289"/>
      <c r="L111" s="289"/>
      <c r="M111" s="289"/>
      <c r="N111" s="289"/>
      <c r="O111" s="289"/>
      <c r="P111" s="289"/>
      <c r="Q111" s="289"/>
      <c r="R111" s="294"/>
      <c r="S111" s="289"/>
      <c r="T111" s="289"/>
      <c r="U111" s="289"/>
      <c r="V111" s="289"/>
      <c r="W111" s="289"/>
      <c r="X111" s="289"/>
      <c r="Y111" s="289"/>
      <c r="Z111" s="294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94"/>
      <c r="AL111" s="289"/>
      <c r="AM111" s="289"/>
      <c r="AN111" s="289"/>
      <c r="AO111" s="289"/>
      <c r="AP111" s="289"/>
      <c r="AQ111" s="289"/>
      <c r="AR111" s="289"/>
      <c r="AS111" s="294"/>
      <c r="AT111" s="289"/>
      <c r="AU111" s="289"/>
      <c r="AV111" s="289"/>
      <c r="AW111" s="289"/>
      <c r="AX111" s="289"/>
      <c r="AY111" s="289"/>
      <c r="AZ111" s="289"/>
      <c r="BA111" s="291"/>
      <c r="BB111" s="294"/>
      <c r="BC111" s="292"/>
      <c r="BD111" s="292"/>
      <c r="BE111" s="292"/>
      <c r="BF111" s="292"/>
      <c r="BG111" s="292"/>
      <c r="BH111" s="292"/>
      <c r="BI111" s="292"/>
      <c r="BJ111" s="291"/>
      <c r="BK111" s="294"/>
      <c r="BL111" s="289"/>
      <c r="BM111" s="289"/>
      <c r="BN111" s="289"/>
      <c r="BO111" s="289"/>
      <c r="BP111" s="289"/>
      <c r="BQ111" s="289"/>
    </row>
    <row r="112" spans="2:69" s="219" customFormat="1" ht="22.5" customHeight="1">
      <c r="J112" s="294"/>
      <c r="K112" s="291"/>
      <c r="L112" s="291"/>
      <c r="M112" s="291"/>
      <c r="N112" s="291"/>
      <c r="O112" s="291"/>
      <c r="P112" s="291"/>
      <c r="Q112" s="291"/>
      <c r="R112" s="294"/>
      <c r="S112" s="291"/>
      <c r="T112" s="291"/>
      <c r="U112" s="291"/>
      <c r="V112" s="291"/>
      <c r="W112" s="291"/>
      <c r="X112" s="291"/>
      <c r="Y112" s="291"/>
      <c r="Z112" s="294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4"/>
      <c r="AL112" s="291"/>
      <c r="AM112" s="291"/>
      <c r="AN112" s="291"/>
      <c r="AO112" s="291"/>
      <c r="AP112" s="291"/>
      <c r="AQ112" s="291"/>
      <c r="AR112" s="291"/>
      <c r="AS112" s="294"/>
      <c r="AT112" s="291"/>
      <c r="AU112" s="291"/>
      <c r="AV112" s="291"/>
      <c r="AW112" s="291"/>
      <c r="AX112" s="291"/>
      <c r="AY112" s="291"/>
      <c r="AZ112" s="291"/>
      <c r="BA112" s="291"/>
      <c r="BB112" s="294"/>
      <c r="BC112" s="292"/>
      <c r="BD112" s="292"/>
      <c r="BE112" s="292"/>
      <c r="BF112" s="292"/>
      <c r="BG112" s="292"/>
      <c r="BH112" s="292"/>
      <c r="BI112" s="292"/>
      <c r="BJ112" s="291"/>
      <c r="BK112" s="294"/>
      <c r="BL112" s="289"/>
      <c r="BM112" s="289"/>
      <c r="BN112" s="289"/>
      <c r="BO112" s="289"/>
      <c r="BP112" s="289"/>
      <c r="BQ112" s="289"/>
    </row>
    <row r="113" spans="1:69" s="219" customFormat="1" ht="22.5" customHeight="1">
      <c r="J113" s="294"/>
      <c r="K113" s="291"/>
      <c r="L113" s="291"/>
      <c r="M113" s="291"/>
      <c r="N113" s="291"/>
      <c r="O113" s="291"/>
      <c r="P113" s="291"/>
      <c r="Q113" s="291"/>
      <c r="R113" s="288"/>
      <c r="S113" s="291"/>
      <c r="T113" s="291"/>
      <c r="U113" s="291"/>
      <c r="V113" s="291"/>
      <c r="W113" s="291"/>
      <c r="X113" s="291"/>
      <c r="Y113" s="291"/>
      <c r="Z113" s="294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4"/>
      <c r="AL113" s="291"/>
      <c r="AM113" s="291"/>
      <c r="AN113" s="291"/>
      <c r="AO113" s="291"/>
      <c r="AP113" s="291"/>
      <c r="AQ113" s="291"/>
      <c r="AR113" s="291"/>
      <c r="AS113" s="294"/>
      <c r="AT113" s="291"/>
      <c r="AU113" s="291"/>
      <c r="AV113" s="291"/>
      <c r="AW113" s="291"/>
      <c r="AX113" s="291"/>
      <c r="AY113" s="291"/>
      <c r="AZ113" s="291"/>
      <c r="BA113" s="291"/>
      <c r="BB113" s="294"/>
      <c r="BC113" s="292"/>
      <c r="BD113" s="292"/>
      <c r="BE113" s="292"/>
      <c r="BF113" s="292"/>
      <c r="BG113" s="292"/>
      <c r="BH113" s="292"/>
      <c r="BI113" s="292"/>
      <c r="BJ113" s="291"/>
      <c r="BK113" s="294"/>
      <c r="BL113" s="289"/>
      <c r="BM113" s="289"/>
      <c r="BN113" s="289"/>
      <c r="BO113" s="289"/>
      <c r="BP113" s="289"/>
      <c r="BQ113" s="289"/>
    </row>
    <row r="114" spans="1:69" s="219" customFormat="1" ht="22.5" customHeight="1">
      <c r="J114" s="294"/>
      <c r="K114" s="291"/>
      <c r="L114" s="291"/>
      <c r="M114" s="291"/>
      <c r="N114" s="291"/>
      <c r="O114" s="291"/>
      <c r="P114" s="291"/>
      <c r="Q114" s="291"/>
      <c r="R114" s="288"/>
      <c r="S114" s="291"/>
      <c r="T114" s="291"/>
      <c r="U114" s="291"/>
      <c r="V114" s="291"/>
      <c r="W114" s="291"/>
      <c r="X114" s="291"/>
      <c r="Y114" s="291"/>
      <c r="Z114" s="294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4"/>
      <c r="AL114" s="291"/>
      <c r="AM114" s="291"/>
      <c r="AN114" s="291"/>
      <c r="AO114" s="291"/>
      <c r="AP114" s="291"/>
      <c r="AQ114" s="291"/>
      <c r="AR114" s="291"/>
      <c r="AS114" s="294"/>
      <c r="AT114" s="291"/>
      <c r="AU114" s="291"/>
      <c r="AV114" s="291"/>
      <c r="AW114" s="291"/>
      <c r="AX114" s="291"/>
      <c r="AY114" s="291"/>
      <c r="AZ114" s="291"/>
      <c r="BA114" s="295"/>
      <c r="BB114" s="294"/>
      <c r="BC114" s="292"/>
      <c r="BD114" s="292"/>
      <c r="BE114" s="292"/>
      <c r="BF114" s="292"/>
      <c r="BG114" s="292"/>
      <c r="BH114" s="292"/>
      <c r="BI114" s="292"/>
      <c r="BJ114" s="295"/>
      <c r="BK114" s="296"/>
      <c r="BL114" s="289"/>
      <c r="BM114" s="289"/>
      <c r="BN114" s="289"/>
      <c r="BO114" s="289"/>
      <c r="BP114" s="289"/>
      <c r="BQ114" s="289"/>
    </row>
    <row r="115" spans="1:69" s="219" customFormat="1" ht="22.5" customHeight="1">
      <c r="J115" s="294"/>
      <c r="K115" s="291"/>
      <c r="L115" s="291"/>
      <c r="M115" s="291"/>
      <c r="N115" s="291"/>
      <c r="O115" s="291"/>
      <c r="P115" s="291"/>
      <c r="Q115" s="291"/>
      <c r="R115" s="288"/>
      <c r="S115" s="291"/>
      <c r="T115" s="291"/>
      <c r="U115" s="291"/>
      <c r="V115" s="291"/>
      <c r="W115" s="291"/>
      <c r="X115" s="291"/>
      <c r="Y115" s="291"/>
      <c r="Z115" s="294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4"/>
      <c r="AL115" s="291"/>
      <c r="AM115" s="291"/>
      <c r="AN115" s="291"/>
      <c r="AO115" s="291"/>
      <c r="AP115" s="291"/>
      <c r="AQ115" s="291"/>
      <c r="AR115" s="291"/>
      <c r="AS115" s="294"/>
      <c r="AT115" s="291"/>
      <c r="AU115" s="291"/>
      <c r="AV115" s="291"/>
      <c r="AW115" s="291"/>
      <c r="AX115" s="291"/>
      <c r="AY115" s="291"/>
      <c r="AZ115" s="291"/>
      <c r="BA115" s="291"/>
      <c r="BB115" s="296"/>
      <c r="BC115" s="292"/>
      <c r="BD115" s="292"/>
      <c r="BE115" s="292"/>
      <c r="BF115" s="292"/>
      <c r="BG115" s="292"/>
      <c r="BH115" s="292"/>
      <c r="BI115" s="292"/>
      <c r="BJ115" s="291"/>
      <c r="BK115" s="294"/>
      <c r="BL115" s="289"/>
      <c r="BM115" s="289"/>
      <c r="BN115" s="289"/>
      <c r="BO115" s="289"/>
      <c r="BP115" s="289"/>
      <c r="BQ115" s="289"/>
    </row>
    <row r="116" spans="1:69" s="220" customFormat="1" ht="22.5" customHeight="1">
      <c r="J116" s="296"/>
      <c r="K116" s="295"/>
      <c r="L116" s="295"/>
      <c r="M116" s="295"/>
      <c r="N116" s="295"/>
      <c r="O116" s="295"/>
      <c r="P116" s="295"/>
      <c r="Q116" s="295"/>
      <c r="R116" s="287"/>
      <c r="S116" s="295"/>
      <c r="T116" s="295"/>
      <c r="U116" s="295"/>
      <c r="V116" s="295"/>
      <c r="W116" s="295"/>
      <c r="X116" s="295"/>
      <c r="Y116" s="295"/>
      <c r="Z116" s="296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6"/>
      <c r="AL116" s="295"/>
      <c r="AM116" s="295"/>
      <c r="AN116" s="295"/>
      <c r="AO116" s="295"/>
      <c r="AP116" s="295"/>
      <c r="AQ116" s="295"/>
      <c r="AR116" s="295"/>
      <c r="AS116" s="296"/>
      <c r="AT116" s="295"/>
      <c r="AU116" s="295"/>
      <c r="AV116" s="295"/>
      <c r="AW116" s="295"/>
      <c r="AX116" s="295"/>
      <c r="AY116" s="295"/>
      <c r="AZ116" s="295"/>
      <c r="BA116" s="292"/>
      <c r="BB116" s="294"/>
      <c r="BC116" s="292"/>
      <c r="BD116" s="292"/>
      <c r="BE116" s="292"/>
      <c r="BF116" s="292"/>
      <c r="BG116" s="292"/>
      <c r="BH116" s="292"/>
      <c r="BI116" s="292"/>
      <c r="BJ116" s="292"/>
      <c r="BK116" s="293"/>
      <c r="BL116" s="291"/>
      <c r="BM116" s="291"/>
      <c r="BN116" s="291"/>
      <c r="BO116" s="291"/>
      <c r="BP116" s="291"/>
      <c r="BQ116" s="291"/>
    </row>
    <row r="117" spans="1:69" s="219" customFormat="1" ht="22.5" customHeight="1">
      <c r="J117" s="294"/>
      <c r="K117" s="291"/>
      <c r="L117" s="291"/>
      <c r="M117" s="291"/>
      <c r="N117" s="291"/>
      <c r="O117" s="291"/>
      <c r="P117" s="291"/>
      <c r="Q117" s="291"/>
      <c r="R117" s="288"/>
      <c r="S117" s="291"/>
      <c r="T117" s="291"/>
      <c r="U117" s="291"/>
      <c r="V117" s="291"/>
      <c r="W117" s="291"/>
      <c r="X117" s="291"/>
      <c r="Y117" s="291"/>
      <c r="Z117" s="294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4"/>
      <c r="AL117" s="291"/>
      <c r="AM117" s="291"/>
      <c r="AN117" s="291"/>
      <c r="AO117" s="291"/>
      <c r="AP117" s="291"/>
      <c r="AQ117" s="291"/>
      <c r="AR117" s="291"/>
      <c r="AS117" s="294"/>
      <c r="AT117" s="291"/>
      <c r="AU117" s="291"/>
      <c r="AV117" s="291"/>
      <c r="AW117" s="291"/>
      <c r="AX117" s="291"/>
      <c r="AY117" s="291"/>
      <c r="AZ117" s="291"/>
      <c r="BA117" s="292"/>
      <c r="BB117" s="293"/>
      <c r="BC117" s="292"/>
      <c r="BD117" s="292"/>
      <c r="BE117" s="292"/>
      <c r="BF117" s="292"/>
      <c r="BG117" s="292"/>
      <c r="BH117" s="292"/>
      <c r="BI117" s="292"/>
      <c r="BJ117" s="292"/>
      <c r="BK117" s="293"/>
      <c r="BL117" s="291"/>
      <c r="BM117" s="291"/>
      <c r="BN117" s="291"/>
      <c r="BO117" s="291"/>
      <c r="BP117" s="291"/>
      <c r="BQ117" s="291"/>
    </row>
    <row r="118" spans="1:69" s="217" customFormat="1" ht="22.5" customHeight="1">
      <c r="B118" s="40"/>
      <c r="H118" s="40"/>
      <c r="J118" s="293"/>
      <c r="K118" s="292"/>
      <c r="L118" s="292"/>
      <c r="M118" s="292"/>
      <c r="N118" s="292"/>
      <c r="O118" s="292"/>
      <c r="P118" s="292"/>
      <c r="Q118" s="292"/>
      <c r="R118" s="288"/>
      <c r="S118" s="292"/>
      <c r="T118" s="292"/>
      <c r="U118" s="292"/>
      <c r="V118" s="292"/>
      <c r="W118" s="289"/>
      <c r="X118" s="292"/>
      <c r="Y118" s="292"/>
      <c r="Z118" s="293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3"/>
      <c r="AL118" s="292"/>
      <c r="AM118" s="292"/>
      <c r="AN118" s="292"/>
      <c r="AO118" s="292"/>
      <c r="AP118" s="292"/>
      <c r="AQ118" s="292"/>
      <c r="AR118" s="292"/>
      <c r="AS118" s="293"/>
      <c r="AT118" s="292"/>
      <c r="AU118" s="292"/>
      <c r="AV118" s="292"/>
      <c r="AW118" s="292"/>
      <c r="AX118" s="292"/>
      <c r="AY118" s="292"/>
      <c r="AZ118" s="292"/>
      <c r="BA118" s="292"/>
      <c r="BB118" s="293"/>
      <c r="BC118" s="292"/>
      <c r="BD118" s="292"/>
      <c r="BE118" s="292"/>
      <c r="BF118" s="292"/>
      <c r="BG118" s="292"/>
      <c r="BH118" s="292"/>
      <c r="BI118" s="292"/>
      <c r="BJ118" s="292"/>
      <c r="BK118" s="293"/>
      <c r="BL118" s="291"/>
      <c r="BM118" s="291"/>
      <c r="BN118" s="291"/>
      <c r="BO118" s="291"/>
      <c r="BP118" s="291"/>
      <c r="BQ118" s="291"/>
    </row>
    <row r="119" spans="1:69" s="217" customFormat="1" ht="22.5" customHeight="1">
      <c r="B119" s="40"/>
      <c r="H119" s="40"/>
      <c r="J119" s="293"/>
      <c r="K119" s="292"/>
      <c r="L119" s="292"/>
      <c r="M119" s="292"/>
      <c r="N119" s="292"/>
      <c r="O119" s="292"/>
      <c r="P119" s="292"/>
      <c r="Q119" s="297"/>
      <c r="R119" s="279"/>
      <c r="S119" s="298"/>
      <c r="T119" s="292"/>
      <c r="U119" s="292"/>
      <c r="V119" s="292"/>
      <c r="W119" s="289"/>
      <c r="X119" s="292"/>
      <c r="Y119" s="292"/>
      <c r="Z119" s="293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3"/>
      <c r="AL119" s="292"/>
      <c r="AM119" s="292"/>
      <c r="AN119" s="292"/>
      <c r="AO119" s="292"/>
      <c r="AP119" s="292"/>
      <c r="AQ119" s="292"/>
      <c r="AR119" s="292"/>
      <c r="AS119" s="293"/>
      <c r="AT119" s="292"/>
      <c r="AU119" s="292"/>
      <c r="AV119" s="292"/>
      <c r="AW119" s="292"/>
      <c r="AX119" s="292"/>
      <c r="AY119" s="292"/>
      <c r="AZ119" s="292"/>
      <c r="BA119" s="292"/>
      <c r="BB119" s="293"/>
      <c r="BC119" s="292"/>
      <c r="BD119" s="292"/>
      <c r="BE119" s="292"/>
      <c r="BF119" s="292"/>
      <c r="BG119" s="292"/>
      <c r="BH119" s="292"/>
      <c r="BI119" s="292"/>
      <c r="BJ119" s="292"/>
      <c r="BK119" s="293"/>
      <c r="BL119" s="291"/>
      <c r="BM119" s="291"/>
      <c r="BN119" s="291"/>
      <c r="BO119" s="291"/>
      <c r="BP119" s="291"/>
      <c r="BQ119" s="291"/>
    </row>
    <row r="120" spans="1:69" s="217" customFormat="1" ht="22.5" customHeight="1">
      <c r="B120" s="40"/>
      <c r="H120" s="40"/>
      <c r="J120" s="293"/>
      <c r="K120" s="292"/>
      <c r="L120" s="292"/>
      <c r="M120" s="292"/>
      <c r="N120" s="292"/>
      <c r="O120" s="292"/>
      <c r="P120" s="292"/>
      <c r="Q120" s="297"/>
      <c r="R120" s="279"/>
      <c r="S120" s="298"/>
      <c r="T120" s="292"/>
      <c r="U120" s="292"/>
      <c r="V120" s="292"/>
      <c r="W120" s="289"/>
      <c r="X120" s="292"/>
      <c r="Y120" s="292"/>
      <c r="Z120" s="293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3"/>
      <c r="AL120" s="292"/>
      <c r="AM120" s="292"/>
      <c r="AN120" s="292"/>
      <c r="AO120" s="292"/>
      <c r="AP120" s="292"/>
      <c r="AQ120" s="292"/>
      <c r="AR120" s="292"/>
      <c r="AS120" s="293"/>
      <c r="AT120" s="292"/>
      <c r="AU120" s="292"/>
      <c r="AV120" s="292"/>
      <c r="AW120" s="292"/>
      <c r="AX120" s="292"/>
      <c r="AY120" s="292"/>
      <c r="AZ120" s="292"/>
      <c r="BA120" s="292"/>
      <c r="BB120" s="293"/>
      <c r="BC120" s="289"/>
      <c r="BD120" s="289"/>
      <c r="BE120" s="289"/>
      <c r="BF120" s="289"/>
      <c r="BG120" s="289"/>
      <c r="BH120" s="289"/>
      <c r="BI120" s="289"/>
      <c r="BJ120" s="292"/>
      <c r="BK120" s="293"/>
      <c r="BL120" s="295"/>
      <c r="BM120" s="295"/>
      <c r="BN120" s="295"/>
      <c r="BO120" s="295"/>
      <c r="BP120" s="295"/>
      <c r="BQ120" s="295"/>
    </row>
    <row r="121" spans="1:69" s="217" customFormat="1" ht="22.5" customHeight="1">
      <c r="B121" s="40"/>
      <c r="H121" s="40"/>
      <c r="J121" s="293"/>
      <c r="K121" s="292"/>
      <c r="L121" s="292"/>
      <c r="M121" s="292"/>
      <c r="N121" s="292"/>
      <c r="O121" s="292"/>
      <c r="P121" s="292"/>
      <c r="Q121" s="297"/>
      <c r="R121" s="279"/>
      <c r="S121" s="298"/>
      <c r="T121" s="292"/>
      <c r="U121" s="292"/>
      <c r="V121" s="292"/>
      <c r="W121" s="289"/>
      <c r="X121" s="292"/>
      <c r="Y121" s="292"/>
      <c r="Z121" s="293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3"/>
      <c r="AL121" s="292"/>
      <c r="AM121" s="292"/>
      <c r="AN121" s="292"/>
      <c r="AO121" s="292"/>
      <c r="AP121" s="292"/>
      <c r="AQ121" s="292"/>
      <c r="AR121" s="292"/>
      <c r="AS121" s="293"/>
      <c r="AT121" s="292"/>
      <c r="AU121" s="292"/>
      <c r="AV121" s="292"/>
      <c r="AW121" s="292"/>
      <c r="AX121" s="292"/>
      <c r="AY121" s="292"/>
      <c r="AZ121" s="292"/>
      <c r="BA121" s="292"/>
      <c r="BB121" s="293"/>
      <c r="BC121" s="289"/>
      <c r="BD121" s="289"/>
      <c r="BE121" s="289"/>
      <c r="BF121" s="289"/>
      <c r="BG121" s="289"/>
      <c r="BH121" s="289"/>
      <c r="BI121" s="289"/>
      <c r="BJ121" s="292"/>
      <c r="BK121" s="293"/>
      <c r="BL121" s="291"/>
      <c r="BM121" s="291"/>
      <c r="BN121" s="291"/>
      <c r="BO121" s="291"/>
      <c r="BP121" s="291"/>
      <c r="BQ121" s="291"/>
    </row>
    <row r="122" spans="1:69" s="217" customFormat="1" ht="22.5" customHeight="1">
      <c r="B122" s="40"/>
      <c r="H122" s="40"/>
      <c r="J122" s="293"/>
      <c r="K122" s="292"/>
      <c r="L122" s="292"/>
      <c r="M122" s="292"/>
      <c r="N122" s="292"/>
      <c r="O122" s="292"/>
      <c r="P122" s="292"/>
      <c r="Q122" s="297"/>
      <c r="R122" s="279"/>
      <c r="S122" s="298"/>
      <c r="T122" s="297"/>
      <c r="U122" s="297"/>
      <c r="V122" s="297"/>
      <c r="W122" s="271"/>
      <c r="X122" s="297"/>
      <c r="Y122" s="292"/>
      <c r="Z122" s="293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3"/>
      <c r="AL122" s="292"/>
      <c r="AM122" s="292"/>
      <c r="AN122" s="292"/>
      <c r="AO122" s="292"/>
      <c r="AP122" s="292"/>
      <c r="AQ122" s="292"/>
      <c r="AR122" s="292"/>
      <c r="AS122" s="293"/>
      <c r="AT122" s="292"/>
      <c r="AU122" s="292"/>
      <c r="AV122" s="292"/>
      <c r="AW122" s="292"/>
      <c r="AX122" s="292"/>
      <c r="AY122" s="292"/>
      <c r="AZ122" s="292"/>
      <c r="BA122" s="292"/>
      <c r="BB122" s="293"/>
      <c r="BC122" s="289"/>
      <c r="BD122" s="289"/>
      <c r="BE122" s="289"/>
      <c r="BF122" s="289"/>
      <c r="BG122" s="289"/>
      <c r="BH122" s="289"/>
      <c r="BI122" s="289"/>
      <c r="BJ122" s="292"/>
      <c r="BK122" s="293"/>
      <c r="BL122" s="292"/>
      <c r="BM122" s="292"/>
      <c r="BN122" s="292"/>
      <c r="BO122" s="292"/>
      <c r="BP122" s="292"/>
      <c r="BQ122" s="292"/>
    </row>
    <row r="123" spans="1:69" s="217" customFormat="1" ht="22.5" customHeight="1">
      <c r="B123" s="40"/>
      <c r="H123" s="40"/>
      <c r="J123" s="293"/>
      <c r="K123" s="292"/>
      <c r="L123" s="292"/>
      <c r="M123" s="292"/>
      <c r="N123" s="292"/>
      <c r="O123" s="292"/>
      <c r="P123" s="292"/>
      <c r="Q123" s="292"/>
      <c r="R123" s="288"/>
      <c r="S123" s="292"/>
      <c r="T123" s="292"/>
      <c r="U123" s="292"/>
      <c r="V123" s="292"/>
      <c r="W123" s="289"/>
      <c r="X123" s="292"/>
      <c r="Y123" s="292"/>
      <c r="Z123" s="293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3"/>
      <c r="AL123" s="292"/>
      <c r="AM123" s="292"/>
      <c r="AN123" s="292"/>
      <c r="AO123" s="292"/>
      <c r="AP123" s="292"/>
      <c r="AQ123" s="292"/>
      <c r="AR123" s="292"/>
      <c r="AS123" s="293"/>
      <c r="AT123" s="292"/>
      <c r="AU123" s="292"/>
      <c r="AV123" s="292"/>
      <c r="AW123" s="292"/>
      <c r="AX123" s="292"/>
      <c r="AY123" s="292"/>
      <c r="AZ123" s="292"/>
      <c r="BA123" s="292"/>
      <c r="BB123" s="293"/>
      <c r="BC123" s="289"/>
      <c r="BD123" s="289"/>
      <c r="BE123" s="289"/>
      <c r="BF123" s="289"/>
      <c r="BG123" s="289"/>
      <c r="BH123" s="289"/>
      <c r="BI123" s="289"/>
      <c r="BJ123" s="292"/>
      <c r="BK123" s="293"/>
      <c r="BL123" s="292"/>
      <c r="BM123" s="292"/>
      <c r="BN123" s="292"/>
      <c r="BO123" s="292"/>
      <c r="BP123" s="292"/>
      <c r="BQ123" s="292"/>
    </row>
    <row r="124" spans="1:69" s="217" customFormat="1" ht="22.5" customHeight="1">
      <c r="A124" s="218"/>
      <c r="B124" s="40"/>
      <c r="H124" s="40"/>
      <c r="J124" s="293"/>
      <c r="K124" s="292"/>
      <c r="L124" s="292"/>
      <c r="M124" s="292"/>
      <c r="N124" s="292"/>
      <c r="O124" s="292"/>
      <c r="P124" s="292"/>
      <c r="Q124" s="292"/>
      <c r="R124" s="288"/>
      <c r="S124" s="292"/>
      <c r="T124" s="292"/>
      <c r="U124" s="292"/>
      <c r="V124" s="292"/>
      <c r="W124" s="289"/>
      <c r="X124" s="292"/>
      <c r="Y124" s="292"/>
      <c r="Z124" s="293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3"/>
      <c r="AL124" s="292"/>
      <c r="AM124" s="292"/>
      <c r="AN124" s="292"/>
      <c r="AO124" s="292"/>
      <c r="AP124" s="292"/>
      <c r="AQ124" s="292"/>
      <c r="AR124" s="292"/>
      <c r="AS124" s="293"/>
      <c r="AT124" s="292"/>
      <c r="AU124" s="292"/>
      <c r="AV124" s="292"/>
      <c r="AW124" s="292"/>
      <c r="AX124" s="292"/>
      <c r="AY124" s="292"/>
      <c r="AZ124" s="292"/>
      <c r="BA124" s="292"/>
      <c r="BB124" s="293"/>
      <c r="BC124" s="289"/>
      <c r="BD124" s="289"/>
      <c r="BE124" s="289"/>
      <c r="BF124" s="289"/>
      <c r="BG124" s="289"/>
      <c r="BH124" s="289"/>
      <c r="BI124" s="289"/>
      <c r="BJ124" s="292"/>
      <c r="BK124" s="293"/>
      <c r="BL124" s="292"/>
      <c r="BM124" s="292"/>
      <c r="BN124" s="292"/>
      <c r="BO124" s="292"/>
      <c r="BP124" s="292"/>
      <c r="BQ124" s="292"/>
    </row>
    <row r="125" spans="1:69" s="217" customFormat="1" ht="22.5" customHeight="1">
      <c r="B125" s="40"/>
      <c r="H125" s="40"/>
      <c r="J125" s="293"/>
      <c r="K125" s="292"/>
      <c r="L125" s="292"/>
      <c r="M125" s="292"/>
      <c r="N125" s="292"/>
      <c r="O125" s="292"/>
      <c r="P125" s="292"/>
      <c r="Q125" s="292"/>
      <c r="R125" s="288"/>
      <c r="S125" s="292"/>
      <c r="T125" s="292"/>
      <c r="U125" s="292"/>
      <c r="V125" s="292"/>
      <c r="W125" s="289"/>
      <c r="X125" s="292"/>
      <c r="Y125" s="292"/>
      <c r="Z125" s="293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3"/>
      <c r="AL125" s="292"/>
      <c r="AM125" s="292"/>
      <c r="AN125" s="292"/>
      <c r="AO125" s="292"/>
      <c r="AP125" s="292"/>
      <c r="AQ125" s="292"/>
      <c r="AR125" s="292"/>
      <c r="AS125" s="293"/>
      <c r="AT125" s="292"/>
      <c r="AU125" s="292"/>
      <c r="AV125" s="292"/>
      <c r="AW125" s="292"/>
      <c r="AX125" s="292"/>
      <c r="AY125" s="292"/>
      <c r="AZ125" s="292"/>
      <c r="BA125" s="289"/>
      <c r="BB125" s="293"/>
      <c r="BC125" s="289"/>
      <c r="BD125" s="289"/>
      <c r="BE125" s="289"/>
      <c r="BF125" s="289"/>
      <c r="BG125" s="289"/>
      <c r="BH125" s="289"/>
      <c r="BI125" s="289"/>
      <c r="BJ125" s="289"/>
      <c r="BK125" s="294"/>
      <c r="BL125" s="292"/>
      <c r="BM125" s="292"/>
      <c r="BN125" s="292"/>
      <c r="BO125" s="292"/>
      <c r="BP125" s="292"/>
      <c r="BQ125" s="292"/>
    </row>
    <row r="126" spans="1:69" s="217" customFormat="1" ht="22.5" customHeight="1">
      <c r="B126" s="40"/>
      <c r="H126" s="40"/>
      <c r="J126" s="293"/>
      <c r="K126" s="292"/>
      <c r="L126" s="292"/>
      <c r="M126" s="292"/>
      <c r="N126" s="292"/>
      <c r="O126" s="292"/>
      <c r="P126" s="292"/>
      <c r="Q126" s="292"/>
      <c r="R126" s="288"/>
      <c r="S126" s="292"/>
      <c r="T126" s="292"/>
      <c r="U126" s="292"/>
      <c r="V126" s="292"/>
      <c r="W126" s="289"/>
      <c r="X126" s="292"/>
      <c r="Y126" s="292"/>
      <c r="Z126" s="293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3"/>
      <c r="AL126" s="292"/>
      <c r="AM126" s="292"/>
      <c r="AN126" s="292"/>
      <c r="AO126" s="292"/>
      <c r="AP126" s="292"/>
      <c r="AQ126" s="292"/>
      <c r="AR126" s="292"/>
      <c r="AS126" s="293"/>
      <c r="AT126" s="292"/>
      <c r="AU126" s="292"/>
      <c r="AV126" s="292"/>
      <c r="AW126" s="292"/>
      <c r="AX126" s="292"/>
      <c r="AY126" s="292"/>
      <c r="AZ126" s="292"/>
      <c r="BA126" s="289"/>
      <c r="BB126" s="294"/>
      <c r="BC126" s="289"/>
      <c r="BD126" s="289"/>
      <c r="BE126" s="289"/>
      <c r="BF126" s="289"/>
      <c r="BG126" s="289"/>
      <c r="BH126" s="289"/>
      <c r="BI126" s="289"/>
      <c r="BJ126" s="289"/>
      <c r="BK126" s="294"/>
      <c r="BL126" s="292"/>
      <c r="BM126" s="292"/>
      <c r="BN126" s="292"/>
      <c r="BO126" s="292"/>
      <c r="BP126" s="292"/>
      <c r="BQ126" s="292"/>
    </row>
    <row r="127" spans="1:69" s="40" customFormat="1" ht="22.5" customHeight="1">
      <c r="J127" s="294"/>
      <c r="K127" s="289"/>
      <c r="L127" s="289"/>
      <c r="M127" s="289"/>
      <c r="N127" s="289"/>
      <c r="O127" s="289"/>
      <c r="P127" s="289"/>
      <c r="Q127" s="289"/>
      <c r="R127" s="288"/>
      <c r="S127" s="289"/>
      <c r="T127" s="289"/>
      <c r="U127" s="289"/>
      <c r="V127" s="289"/>
      <c r="W127" s="289"/>
      <c r="X127" s="289"/>
      <c r="Y127" s="289"/>
      <c r="Z127" s="294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94"/>
      <c r="AL127" s="289"/>
      <c r="AM127" s="289"/>
      <c r="AN127" s="289"/>
      <c r="AO127" s="289"/>
      <c r="AP127" s="289"/>
      <c r="AQ127" s="289"/>
      <c r="AR127" s="289"/>
      <c r="AS127" s="294"/>
      <c r="AT127" s="289"/>
      <c r="AU127" s="289"/>
      <c r="AV127" s="289"/>
      <c r="AW127" s="289"/>
      <c r="AX127" s="289"/>
      <c r="AY127" s="289"/>
      <c r="AZ127" s="289"/>
      <c r="BA127" s="289"/>
      <c r="BB127" s="294"/>
      <c r="BC127" s="289"/>
      <c r="BD127" s="289"/>
      <c r="BE127" s="289"/>
      <c r="BF127" s="289"/>
      <c r="BG127" s="289"/>
      <c r="BH127" s="289"/>
      <c r="BI127" s="289"/>
      <c r="BJ127" s="289"/>
      <c r="BK127" s="294"/>
      <c r="BL127" s="292"/>
      <c r="BM127" s="292"/>
      <c r="BN127" s="292"/>
      <c r="BO127" s="292"/>
      <c r="BP127" s="292"/>
      <c r="BQ127" s="292"/>
    </row>
    <row r="128" spans="1:69" s="40" customFormat="1" ht="22.5" customHeight="1">
      <c r="J128" s="294"/>
      <c r="K128" s="289"/>
      <c r="L128" s="289"/>
      <c r="M128" s="289"/>
      <c r="N128" s="289"/>
      <c r="O128" s="289"/>
      <c r="P128" s="289"/>
      <c r="Q128" s="289"/>
      <c r="R128" s="288"/>
      <c r="S128" s="289"/>
      <c r="T128" s="289"/>
      <c r="U128" s="289"/>
      <c r="V128" s="289"/>
      <c r="W128" s="289"/>
      <c r="X128" s="289"/>
      <c r="Y128" s="289"/>
      <c r="Z128" s="294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94"/>
      <c r="AL128" s="289"/>
      <c r="AM128" s="289"/>
      <c r="AN128" s="289"/>
      <c r="AO128" s="289"/>
      <c r="AP128" s="289"/>
      <c r="AQ128" s="289"/>
      <c r="AR128" s="289"/>
      <c r="AS128" s="294"/>
      <c r="AT128" s="289"/>
      <c r="AU128" s="289"/>
      <c r="AV128" s="289"/>
      <c r="AW128" s="289"/>
      <c r="AX128" s="289"/>
      <c r="AY128" s="289"/>
      <c r="AZ128" s="289"/>
      <c r="BA128" s="289"/>
      <c r="BB128" s="294"/>
      <c r="BC128" s="289"/>
      <c r="BD128" s="289"/>
      <c r="BE128" s="289"/>
      <c r="BF128" s="289"/>
      <c r="BG128" s="289"/>
      <c r="BH128" s="289"/>
      <c r="BI128" s="289"/>
      <c r="BJ128" s="289"/>
      <c r="BK128" s="294"/>
      <c r="BL128" s="292"/>
      <c r="BM128" s="292"/>
      <c r="BN128" s="292"/>
      <c r="BO128" s="292"/>
      <c r="BP128" s="292"/>
      <c r="BQ128" s="292"/>
    </row>
    <row r="129" spans="1:69" s="40" customFormat="1" ht="22.5" customHeight="1">
      <c r="J129" s="294"/>
      <c r="K129" s="289"/>
      <c r="L129" s="289"/>
      <c r="M129" s="289"/>
      <c r="N129" s="289"/>
      <c r="O129" s="289"/>
      <c r="P129" s="289"/>
      <c r="Q129" s="289"/>
      <c r="R129" s="288"/>
      <c r="S129" s="289"/>
      <c r="T129" s="289"/>
      <c r="U129" s="289"/>
      <c r="V129" s="289"/>
      <c r="W129" s="289"/>
      <c r="X129" s="289"/>
      <c r="Y129" s="289"/>
      <c r="Z129" s="294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94"/>
      <c r="AL129" s="289"/>
      <c r="AM129" s="289"/>
      <c r="AN129" s="289"/>
      <c r="AO129" s="289"/>
      <c r="AP129" s="289"/>
      <c r="AQ129" s="289"/>
      <c r="AR129" s="289"/>
      <c r="AS129" s="294"/>
      <c r="AT129" s="289"/>
      <c r="AU129" s="289"/>
      <c r="AV129" s="289"/>
      <c r="AW129" s="289"/>
      <c r="AX129" s="289"/>
      <c r="AY129" s="289"/>
      <c r="AZ129" s="289"/>
      <c r="BA129" s="289"/>
      <c r="BB129" s="294"/>
      <c r="BC129" s="289"/>
      <c r="BD129" s="289"/>
      <c r="BE129" s="289"/>
      <c r="BF129" s="289"/>
      <c r="BG129" s="289"/>
      <c r="BH129" s="289"/>
      <c r="BI129" s="289"/>
      <c r="BJ129" s="289"/>
      <c r="BK129" s="294"/>
      <c r="BL129" s="292"/>
      <c r="BM129" s="292"/>
      <c r="BN129" s="292"/>
      <c r="BO129" s="292"/>
      <c r="BP129" s="292"/>
      <c r="BQ129" s="292"/>
    </row>
    <row r="130" spans="1:69" s="40" customFormat="1" ht="22.5" customHeight="1">
      <c r="A130" s="216"/>
      <c r="J130" s="294"/>
      <c r="K130" s="289"/>
      <c r="L130" s="289"/>
      <c r="M130" s="289"/>
      <c r="N130" s="289"/>
      <c r="O130" s="289"/>
      <c r="P130" s="289"/>
      <c r="Q130" s="289"/>
      <c r="R130" s="288"/>
      <c r="S130" s="289"/>
      <c r="T130" s="289"/>
      <c r="U130" s="289"/>
      <c r="V130" s="289"/>
      <c r="W130" s="289"/>
      <c r="X130" s="289"/>
      <c r="Y130" s="289"/>
      <c r="Z130" s="294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94"/>
      <c r="AL130" s="289"/>
      <c r="AM130" s="289"/>
      <c r="AN130" s="289"/>
      <c r="AO130" s="289"/>
      <c r="AP130" s="289"/>
      <c r="AQ130" s="289"/>
      <c r="AR130" s="289"/>
      <c r="AS130" s="294"/>
      <c r="AT130" s="289"/>
      <c r="AU130" s="289"/>
      <c r="AV130" s="289"/>
      <c r="AW130" s="289"/>
      <c r="AX130" s="289"/>
      <c r="AY130" s="289"/>
      <c r="AZ130" s="289"/>
      <c r="BA130" s="289"/>
      <c r="BB130" s="294"/>
      <c r="BC130" s="289"/>
      <c r="BD130" s="289"/>
      <c r="BE130" s="289"/>
      <c r="BF130" s="289"/>
      <c r="BG130" s="289"/>
      <c r="BH130" s="289"/>
      <c r="BI130" s="289"/>
      <c r="BJ130" s="289"/>
      <c r="BK130" s="294"/>
      <c r="BL130" s="292"/>
      <c r="BM130" s="292"/>
      <c r="BN130" s="292"/>
      <c r="BO130" s="292"/>
      <c r="BP130" s="292"/>
      <c r="BQ130" s="292"/>
    </row>
    <row r="131" spans="1:69" s="40" customFormat="1" ht="22.5" customHeight="1">
      <c r="J131" s="294"/>
      <c r="K131" s="289"/>
      <c r="L131" s="289"/>
      <c r="M131" s="289"/>
      <c r="N131" s="289"/>
      <c r="O131" s="289"/>
      <c r="P131" s="289"/>
      <c r="Q131" s="289"/>
      <c r="R131" s="288"/>
      <c r="S131" s="289"/>
      <c r="T131" s="289"/>
      <c r="U131" s="289"/>
      <c r="V131" s="289"/>
      <c r="W131" s="289"/>
      <c r="X131" s="289"/>
      <c r="Y131" s="289"/>
      <c r="Z131" s="294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94"/>
      <c r="AL131" s="289"/>
      <c r="AM131" s="289"/>
      <c r="AN131" s="289"/>
      <c r="AO131" s="289"/>
      <c r="AP131" s="289"/>
      <c r="AQ131" s="289"/>
      <c r="AR131" s="289"/>
      <c r="AS131" s="294"/>
      <c r="AT131" s="289"/>
      <c r="AU131" s="289"/>
      <c r="AV131" s="289"/>
      <c r="AW131" s="289"/>
      <c r="AX131" s="289"/>
      <c r="AY131" s="289"/>
      <c r="AZ131" s="289"/>
      <c r="BA131" s="289"/>
      <c r="BB131" s="294"/>
      <c r="BC131" s="289"/>
      <c r="BD131" s="289"/>
      <c r="BE131" s="289"/>
      <c r="BF131" s="289"/>
      <c r="BG131" s="289"/>
      <c r="BH131" s="289"/>
      <c r="BI131" s="289"/>
      <c r="BJ131" s="289"/>
      <c r="BK131" s="294"/>
      <c r="BL131" s="289"/>
      <c r="BM131" s="289"/>
      <c r="BN131" s="289"/>
      <c r="BO131" s="289"/>
      <c r="BP131" s="289"/>
      <c r="BQ131" s="289"/>
    </row>
    <row r="132" spans="1:69" s="40" customFormat="1" ht="22.5" customHeight="1">
      <c r="J132" s="294"/>
      <c r="K132" s="289"/>
      <c r="L132" s="289"/>
      <c r="M132" s="289"/>
      <c r="N132" s="289"/>
      <c r="O132" s="289"/>
      <c r="P132" s="289"/>
      <c r="Q132" s="289"/>
      <c r="R132" s="288"/>
      <c r="S132" s="289"/>
      <c r="T132" s="289"/>
      <c r="U132" s="289"/>
      <c r="V132" s="289"/>
      <c r="W132" s="289"/>
      <c r="X132" s="289"/>
      <c r="Y132" s="289"/>
      <c r="Z132" s="294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94"/>
      <c r="AL132" s="289"/>
      <c r="AM132" s="289"/>
      <c r="AN132" s="289"/>
      <c r="AO132" s="289"/>
      <c r="AP132" s="289"/>
      <c r="AQ132" s="289"/>
      <c r="AR132" s="289"/>
      <c r="AS132" s="294"/>
      <c r="AT132" s="289"/>
      <c r="AU132" s="289"/>
      <c r="AV132" s="289"/>
      <c r="AW132" s="289"/>
      <c r="AX132" s="289"/>
      <c r="AY132" s="289"/>
      <c r="AZ132" s="289"/>
      <c r="BA132" s="289"/>
      <c r="BB132" s="294"/>
      <c r="BC132" s="289"/>
      <c r="BD132" s="289"/>
      <c r="BE132" s="289"/>
      <c r="BF132" s="289"/>
      <c r="BG132" s="289"/>
      <c r="BH132" s="289"/>
      <c r="BI132" s="289"/>
      <c r="BJ132" s="289"/>
      <c r="BK132" s="294"/>
      <c r="BL132" s="289"/>
      <c r="BM132" s="289"/>
      <c r="BN132" s="289"/>
      <c r="BO132" s="289"/>
      <c r="BP132" s="289"/>
      <c r="BQ132" s="289"/>
    </row>
    <row r="133" spans="1:69" s="40" customFormat="1" ht="22.5" customHeight="1">
      <c r="J133" s="294"/>
      <c r="K133" s="289"/>
      <c r="L133" s="289"/>
      <c r="M133" s="289"/>
      <c r="N133" s="289"/>
      <c r="O133" s="289"/>
      <c r="P133" s="289"/>
      <c r="Q133" s="289"/>
      <c r="R133" s="288"/>
      <c r="S133" s="289"/>
      <c r="T133" s="289"/>
      <c r="U133" s="289"/>
      <c r="V133" s="289"/>
      <c r="W133" s="289"/>
      <c r="X133" s="289"/>
      <c r="Y133" s="289"/>
      <c r="Z133" s="294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94"/>
      <c r="AL133" s="289"/>
      <c r="AM133" s="289"/>
      <c r="AN133" s="289"/>
      <c r="AO133" s="289"/>
      <c r="AP133" s="289"/>
      <c r="AQ133" s="289"/>
      <c r="AR133" s="289"/>
      <c r="AS133" s="294"/>
      <c r="AT133" s="289"/>
      <c r="AU133" s="289"/>
      <c r="AV133" s="289"/>
      <c r="AW133" s="289"/>
      <c r="AX133" s="289"/>
      <c r="AY133" s="289"/>
      <c r="AZ133" s="289"/>
      <c r="BA133" s="289"/>
      <c r="BB133" s="294"/>
      <c r="BC133" s="289"/>
      <c r="BD133" s="289"/>
      <c r="BE133" s="289"/>
      <c r="BF133" s="289"/>
      <c r="BG133" s="289"/>
      <c r="BH133" s="289"/>
      <c r="BI133" s="289"/>
      <c r="BJ133" s="289"/>
      <c r="BK133" s="294"/>
      <c r="BL133" s="289"/>
      <c r="BM133" s="289"/>
      <c r="BN133" s="289"/>
      <c r="BO133" s="289"/>
      <c r="BP133" s="289"/>
      <c r="BQ133" s="289"/>
    </row>
    <row r="134" spans="1:69" s="40" customFormat="1" ht="22.5" customHeight="1">
      <c r="J134" s="294"/>
      <c r="K134" s="289"/>
      <c r="L134" s="289"/>
      <c r="M134" s="289"/>
      <c r="N134" s="289"/>
      <c r="O134" s="289"/>
      <c r="P134" s="289"/>
      <c r="Q134" s="289"/>
      <c r="R134" s="288"/>
      <c r="S134" s="289"/>
      <c r="T134" s="289"/>
      <c r="U134" s="289"/>
      <c r="V134" s="289"/>
      <c r="W134" s="289"/>
      <c r="X134" s="289"/>
      <c r="Y134" s="289"/>
      <c r="Z134" s="294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94"/>
      <c r="AL134" s="289"/>
      <c r="AM134" s="289"/>
      <c r="AN134" s="289"/>
      <c r="AO134" s="289"/>
      <c r="AP134" s="289"/>
      <c r="AQ134" s="289"/>
      <c r="AR134" s="289"/>
      <c r="AS134" s="294"/>
      <c r="AT134" s="289"/>
      <c r="AU134" s="289"/>
      <c r="AV134" s="289"/>
      <c r="AW134" s="289"/>
      <c r="AX134" s="289"/>
      <c r="AY134" s="289"/>
      <c r="AZ134" s="289"/>
      <c r="BA134" s="289"/>
      <c r="BB134" s="294"/>
      <c r="BC134" s="289"/>
      <c r="BD134" s="289"/>
      <c r="BE134" s="289"/>
      <c r="BF134" s="289"/>
      <c r="BG134" s="289"/>
      <c r="BH134" s="289"/>
      <c r="BI134" s="289"/>
      <c r="BJ134" s="289"/>
      <c r="BK134" s="294"/>
      <c r="BL134" s="289"/>
      <c r="BM134" s="289"/>
      <c r="BN134" s="289"/>
      <c r="BO134" s="289"/>
      <c r="BP134" s="289"/>
      <c r="BQ134" s="289"/>
    </row>
    <row r="135" spans="1:69" s="40" customFormat="1" ht="22.5" customHeight="1">
      <c r="A135" s="113"/>
      <c r="B135" s="1437"/>
      <c r="C135" s="1437"/>
      <c r="D135" s="112"/>
      <c r="E135" s="115"/>
      <c r="F135" s="112"/>
      <c r="G135" s="112"/>
      <c r="H135" s="112"/>
      <c r="I135" s="112"/>
      <c r="J135" s="294"/>
      <c r="K135" s="289"/>
      <c r="L135" s="289"/>
      <c r="M135" s="289"/>
      <c r="N135" s="289"/>
      <c r="O135" s="289"/>
      <c r="P135" s="289"/>
      <c r="Q135" s="289"/>
      <c r="R135" s="288"/>
      <c r="S135" s="289"/>
      <c r="T135" s="289"/>
      <c r="U135" s="289"/>
      <c r="V135" s="289"/>
      <c r="W135" s="289"/>
      <c r="X135" s="289"/>
      <c r="Y135" s="289"/>
      <c r="Z135" s="294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94"/>
      <c r="AL135" s="289"/>
      <c r="AM135" s="289"/>
      <c r="AN135" s="289"/>
      <c r="AO135" s="289"/>
      <c r="AP135" s="289"/>
      <c r="AQ135" s="289"/>
      <c r="AR135" s="289"/>
      <c r="AS135" s="294"/>
      <c r="AT135" s="289"/>
      <c r="AU135" s="289"/>
      <c r="AV135" s="289"/>
      <c r="AW135" s="289"/>
      <c r="AX135" s="289"/>
      <c r="AY135" s="289"/>
      <c r="AZ135" s="289"/>
      <c r="BA135" s="289"/>
      <c r="BB135" s="294"/>
      <c r="BC135" s="289"/>
      <c r="BD135" s="289"/>
      <c r="BE135" s="289"/>
      <c r="BF135" s="289"/>
      <c r="BG135" s="289"/>
      <c r="BH135" s="289"/>
      <c r="BI135" s="289"/>
      <c r="BJ135" s="289"/>
      <c r="BK135" s="294"/>
      <c r="BL135" s="289"/>
      <c r="BM135" s="289"/>
      <c r="BN135" s="289"/>
      <c r="BO135" s="289"/>
      <c r="BP135" s="289"/>
      <c r="BQ135" s="289"/>
    </row>
    <row r="136" spans="1:69" s="40" customFormat="1" ht="22.5" customHeight="1">
      <c r="A136" s="113"/>
      <c r="B136" s="1437"/>
      <c r="C136" s="1437"/>
      <c r="D136" s="112"/>
      <c r="E136" s="115"/>
      <c r="F136" s="112"/>
      <c r="G136" s="112"/>
      <c r="H136" s="112"/>
      <c r="I136" s="112"/>
      <c r="J136" s="294"/>
      <c r="K136" s="289"/>
      <c r="L136" s="289"/>
      <c r="M136" s="289"/>
      <c r="N136" s="289"/>
      <c r="O136" s="289"/>
      <c r="P136" s="289"/>
      <c r="Q136" s="289"/>
      <c r="R136" s="288"/>
      <c r="S136" s="289"/>
      <c r="T136" s="289"/>
      <c r="U136" s="289"/>
      <c r="V136" s="289"/>
      <c r="W136" s="289"/>
      <c r="X136" s="289"/>
      <c r="Y136" s="289"/>
      <c r="Z136" s="294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94"/>
      <c r="AL136" s="289"/>
      <c r="AM136" s="289"/>
      <c r="AN136" s="289"/>
      <c r="AO136" s="289"/>
      <c r="AP136" s="289"/>
      <c r="AQ136" s="289"/>
      <c r="AR136" s="289"/>
      <c r="AS136" s="294"/>
      <c r="AT136" s="289"/>
      <c r="AU136" s="289"/>
      <c r="AV136" s="289"/>
      <c r="AW136" s="289"/>
      <c r="AX136" s="289"/>
      <c r="AY136" s="289"/>
      <c r="AZ136" s="289"/>
      <c r="BA136" s="289"/>
      <c r="BB136" s="294"/>
      <c r="BC136" s="289"/>
      <c r="BD136" s="289"/>
      <c r="BE136" s="289"/>
      <c r="BF136" s="289"/>
      <c r="BG136" s="289"/>
      <c r="BH136" s="289"/>
      <c r="BI136" s="289"/>
      <c r="BJ136" s="289"/>
      <c r="BK136" s="294"/>
      <c r="BL136" s="289"/>
      <c r="BM136" s="289"/>
      <c r="BN136" s="289"/>
      <c r="BO136" s="289"/>
      <c r="BP136" s="289"/>
      <c r="BQ136" s="289"/>
    </row>
    <row r="137" spans="1:69" s="40" customFormat="1" ht="22.5" customHeight="1">
      <c r="A137" s="113"/>
      <c r="B137" s="1437"/>
      <c r="C137" s="1437"/>
      <c r="D137" s="112"/>
      <c r="E137" s="115"/>
      <c r="F137" s="112"/>
      <c r="G137" s="112"/>
      <c r="H137" s="112"/>
      <c r="I137" s="112"/>
      <c r="J137" s="294"/>
      <c r="K137" s="289"/>
      <c r="L137" s="289"/>
      <c r="M137" s="289"/>
      <c r="N137" s="289"/>
      <c r="O137" s="289"/>
      <c r="P137" s="289"/>
      <c r="Q137" s="289"/>
      <c r="R137" s="288"/>
      <c r="S137" s="289"/>
      <c r="T137" s="289"/>
      <c r="U137" s="289"/>
      <c r="V137" s="289"/>
      <c r="W137" s="289"/>
      <c r="X137" s="289"/>
      <c r="Y137" s="289"/>
      <c r="Z137" s="294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94"/>
      <c r="AL137" s="289"/>
      <c r="AM137" s="289"/>
      <c r="AN137" s="289"/>
      <c r="AO137" s="289"/>
      <c r="AP137" s="289"/>
      <c r="AQ137" s="289"/>
      <c r="AR137" s="289"/>
      <c r="AS137" s="294"/>
      <c r="AT137" s="289"/>
      <c r="AU137" s="289"/>
      <c r="AV137" s="289"/>
      <c r="AW137" s="289"/>
      <c r="AX137" s="289"/>
      <c r="AY137" s="289"/>
      <c r="AZ137" s="289"/>
      <c r="BA137" s="289"/>
      <c r="BB137" s="294"/>
      <c r="BC137" s="299"/>
      <c r="BD137" s="299"/>
      <c r="BE137" s="299"/>
      <c r="BF137" s="299"/>
      <c r="BG137" s="299"/>
      <c r="BH137" s="299"/>
      <c r="BI137" s="299"/>
      <c r="BJ137" s="289"/>
      <c r="BK137" s="294"/>
      <c r="BL137" s="289"/>
      <c r="BM137" s="289"/>
      <c r="BN137" s="289"/>
      <c r="BO137" s="289"/>
      <c r="BP137" s="289"/>
      <c r="BQ137" s="289"/>
    </row>
    <row r="138" spans="1:69" s="40" customFormat="1" ht="22.5" customHeight="1">
      <c r="A138" s="113"/>
      <c r="B138" s="1437"/>
      <c r="C138" s="1437"/>
      <c r="D138" s="112"/>
      <c r="E138" s="115"/>
      <c r="F138" s="112"/>
      <c r="G138" s="112"/>
      <c r="H138" s="112"/>
      <c r="I138" s="112"/>
      <c r="J138" s="294"/>
      <c r="K138" s="289"/>
      <c r="L138" s="289"/>
      <c r="M138" s="289"/>
      <c r="N138" s="289"/>
      <c r="O138" s="289"/>
      <c r="P138" s="289"/>
      <c r="Q138" s="289"/>
      <c r="R138" s="288"/>
      <c r="S138" s="289"/>
      <c r="T138" s="289"/>
      <c r="U138" s="289"/>
      <c r="V138" s="289"/>
      <c r="W138" s="289"/>
      <c r="X138" s="289"/>
      <c r="Y138" s="289"/>
      <c r="Z138" s="294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94"/>
      <c r="AL138" s="289"/>
      <c r="AM138" s="289"/>
      <c r="AN138" s="289"/>
      <c r="AO138" s="289"/>
      <c r="AP138" s="289"/>
      <c r="AQ138" s="289"/>
      <c r="AR138" s="289"/>
      <c r="AS138" s="294"/>
      <c r="AT138" s="289"/>
      <c r="AU138" s="289"/>
      <c r="AV138" s="289"/>
      <c r="AW138" s="289"/>
      <c r="AX138" s="289"/>
      <c r="AY138" s="289"/>
      <c r="AZ138" s="289"/>
      <c r="BA138" s="289"/>
      <c r="BB138" s="294"/>
      <c r="BC138" s="299"/>
      <c r="BD138" s="299"/>
      <c r="BE138" s="299"/>
      <c r="BF138" s="299"/>
      <c r="BG138" s="299"/>
      <c r="BH138" s="299"/>
      <c r="BI138" s="299"/>
      <c r="BJ138" s="289"/>
      <c r="BK138" s="294"/>
      <c r="BL138" s="289"/>
      <c r="BM138" s="289"/>
      <c r="BN138" s="289"/>
      <c r="BO138" s="289"/>
      <c r="BP138" s="289"/>
      <c r="BQ138" s="289"/>
    </row>
    <row r="139" spans="1:69" s="40" customFormat="1" ht="22.5" customHeight="1">
      <c r="A139" s="113"/>
      <c r="B139" s="1437"/>
      <c r="C139" s="1437"/>
      <c r="D139" s="112"/>
      <c r="E139" s="115"/>
      <c r="F139" s="112"/>
      <c r="G139" s="112"/>
      <c r="H139" s="112"/>
      <c r="I139" s="112"/>
      <c r="J139" s="294"/>
      <c r="K139" s="289"/>
      <c r="L139" s="289"/>
      <c r="M139" s="289"/>
      <c r="N139" s="289"/>
      <c r="O139" s="289"/>
      <c r="P139" s="289"/>
      <c r="Q139" s="289"/>
      <c r="R139" s="288"/>
      <c r="S139" s="289"/>
      <c r="T139" s="289"/>
      <c r="U139" s="289"/>
      <c r="V139" s="289"/>
      <c r="W139" s="289"/>
      <c r="X139" s="289"/>
      <c r="Y139" s="289"/>
      <c r="Z139" s="294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94"/>
      <c r="AL139" s="289"/>
      <c r="AM139" s="289"/>
      <c r="AN139" s="289"/>
      <c r="AO139" s="289"/>
      <c r="AP139" s="289"/>
      <c r="AQ139" s="289"/>
      <c r="AR139" s="289"/>
      <c r="AS139" s="294"/>
      <c r="AT139" s="289"/>
      <c r="AU139" s="289"/>
      <c r="AV139" s="289"/>
      <c r="AW139" s="289"/>
      <c r="AX139" s="289"/>
      <c r="AY139" s="289"/>
      <c r="AZ139" s="289"/>
      <c r="BA139" s="289"/>
      <c r="BB139" s="294"/>
      <c r="BC139" s="299"/>
      <c r="BD139" s="299"/>
      <c r="BE139" s="299"/>
      <c r="BF139" s="299"/>
      <c r="BG139" s="299"/>
      <c r="BH139" s="299"/>
      <c r="BI139" s="299"/>
      <c r="BJ139" s="289"/>
      <c r="BK139" s="294"/>
      <c r="BL139" s="289"/>
      <c r="BM139" s="289"/>
      <c r="BN139" s="289"/>
      <c r="BO139" s="289"/>
      <c r="BP139" s="289"/>
      <c r="BQ139" s="289"/>
    </row>
    <row r="140" spans="1:69" s="40" customFormat="1" ht="22.5" customHeight="1">
      <c r="A140" s="113"/>
      <c r="B140" s="1437"/>
      <c r="C140" s="1437"/>
      <c r="D140" s="112"/>
      <c r="E140" s="115"/>
      <c r="F140" s="112"/>
      <c r="G140" s="112"/>
      <c r="H140" s="112"/>
      <c r="I140" s="112"/>
      <c r="J140" s="294"/>
      <c r="K140" s="289"/>
      <c r="L140" s="289"/>
      <c r="M140" s="289"/>
      <c r="N140" s="289"/>
      <c r="O140" s="289"/>
      <c r="P140" s="289"/>
      <c r="Q140" s="289"/>
      <c r="R140" s="288"/>
      <c r="S140" s="289"/>
      <c r="T140" s="289"/>
      <c r="U140" s="289"/>
      <c r="V140" s="289"/>
      <c r="W140" s="289"/>
      <c r="X140" s="289"/>
      <c r="Y140" s="289"/>
      <c r="Z140" s="294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94"/>
      <c r="AL140" s="289"/>
      <c r="AM140" s="289"/>
      <c r="AN140" s="289"/>
      <c r="AO140" s="289"/>
      <c r="AP140" s="289"/>
      <c r="AQ140" s="289"/>
      <c r="AR140" s="289"/>
      <c r="AS140" s="294"/>
      <c r="AT140" s="289"/>
      <c r="AU140" s="289"/>
      <c r="AV140" s="289"/>
      <c r="AW140" s="289"/>
      <c r="AX140" s="289"/>
      <c r="AY140" s="289"/>
      <c r="AZ140" s="289"/>
      <c r="BA140" s="289"/>
      <c r="BB140" s="294"/>
      <c r="BC140" s="299"/>
      <c r="BD140" s="299"/>
      <c r="BE140" s="299"/>
      <c r="BF140" s="299"/>
      <c r="BG140" s="299"/>
      <c r="BH140" s="299"/>
      <c r="BI140" s="299"/>
      <c r="BJ140" s="289"/>
      <c r="BK140" s="294"/>
      <c r="BL140" s="289"/>
      <c r="BM140" s="289"/>
      <c r="BN140" s="289"/>
      <c r="BO140" s="289"/>
      <c r="BP140" s="289"/>
      <c r="BQ140" s="289"/>
    </row>
    <row r="141" spans="1:69" s="40" customFormat="1" ht="22.5" customHeight="1">
      <c r="A141" s="113"/>
      <c r="B141" s="1437"/>
      <c r="C141" s="1437"/>
      <c r="D141" s="112"/>
      <c r="E141" s="115"/>
      <c r="F141" s="112"/>
      <c r="G141" s="112"/>
      <c r="H141" s="112"/>
      <c r="I141" s="112"/>
      <c r="J141" s="294"/>
      <c r="K141" s="289"/>
      <c r="L141" s="289"/>
      <c r="M141" s="289"/>
      <c r="N141" s="289"/>
      <c r="O141" s="289"/>
      <c r="P141" s="289"/>
      <c r="Q141" s="289"/>
      <c r="R141" s="288"/>
      <c r="S141" s="289"/>
      <c r="T141" s="289"/>
      <c r="U141" s="289"/>
      <c r="V141" s="289"/>
      <c r="W141" s="289"/>
      <c r="X141" s="289"/>
      <c r="Y141" s="289"/>
      <c r="Z141" s="294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94"/>
      <c r="AL141" s="289"/>
      <c r="AM141" s="289"/>
      <c r="AN141" s="289"/>
      <c r="AO141" s="289"/>
      <c r="AP141" s="289"/>
      <c r="AQ141" s="289"/>
      <c r="AR141" s="289"/>
      <c r="AS141" s="294"/>
      <c r="AT141" s="289"/>
      <c r="AU141" s="289"/>
      <c r="AV141" s="289"/>
      <c r="AW141" s="289"/>
      <c r="AX141" s="289"/>
      <c r="AY141" s="289"/>
      <c r="AZ141" s="289"/>
      <c r="BA141" s="289"/>
      <c r="BB141" s="294"/>
      <c r="BC141" s="299"/>
      <c r="BD141" s="299"/>
      <c r="BE141" s="299"/>
      <c r="BF141" s="299"/>
      <c r="BG141" s="299"/>
      <c r="BH141" s="299"/>
      <c r="BI141" s="299"/>
      <c r="BJ141" s="289"/>
      <c r="BK141" s="294"/>
      <c r="BL141" s="289"/>
      <c r="BM141" s="289"/>
      <c r="BN141" s="289"/>
      <c r="BO141" s="289"/>
      <c r="BP141" s="289"/>
      <c r="BQ141" s="289"/>
    </row>
    <row r="142" spans="1:69" s="40" customFormat="1" ht="22.5" customHeight="1">
      <c r="A142" s="113"/>
      <c r="B142" s="1437"/>
      <c r="C142" s="1437"/>
      <c r="D142" s="112"/>
      <c r="E142" s="115"/>
      <c r="F142" s="112"/>
      <c r="G142" s="112"/>
      <c r="H142" s="112"/>
      <c r="I142" s="112"/>
      <c r="J142" s="294"/>
      <c r="K142" s="289"/>
      <c r="L142" s="289"/>
      <c r="M142" s="289"/>
      <c r="N142" s="289"/>
      <c r="O142" s="289"/>
      <c r="P142" s="289"/>
      <c r="Q142" s="289"/>
      <c r="R142" s="288"/>
      <c r="S142" s="289"/>
      <c r="T142" s="289"/>
      <c r="U142" s="289"/>
      <c r="V142" s="289"/>
      <c r="W142" s="289"/>
      <c r="X142" s="289"/>
      <c r="Y142" s="289"/>
      <c r="Z142" s="294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94"/>
      <c r="AL142" s="289"/>
      <c r="AM142" s="289"/>
      <c r="AN142" s="289"/>
      <c r="AO142" s="289"/>
      <c r="AP142" s="289"/>
      <c r="AQ142" s="289"/>
      <c r="AR142" s="289"/>
      <c r="AS142" s="294"/>
      <c r="AT142" s="289"/>
      <c r="AU142" s="289"/>
      <c r="AV142" s="289"/>
      <c r="AW142" s="289"/>
      <c r="AX142" s="289"/>
      <c r="AY142" s="289"/>
      <c r="AZ142" s="289"/>
      <c r="BA142" s="299"/>
      <c r="BB142" s="294"/>
      <c r="BC142" s="299"/>
      <c r="BD142" s="299"/>
      <c r="BE142" s="299"/>
      <c r="BF142" s="299"/>
      <c r="BG142" s="299"/>
      <c r="BH142" s="299"/>
      <c r="BI142" s="299"/>
      <c r="BJ142" s="299"/>
      <c r="BK142" s="300"/>
      <c r="BL142" s="289"/>
      <c r="BM142" s="289"/>
      <c r="BN142" s="289"/>
      <c r="BO142" s="289"/>
      <c r="BP142" s="289"/>
      <c r="BQ142" s="289"/>
    </row>
    <row r="143" spans="1:69" s="40" customFormat="1" ht="22.5" customHeight="1">
      <c r="A143" s="113"/>
      <c r="B143" s="1437"/>
      <c r="C143" s="1437"/>
      <c r="D143" s="112"/>
      <c r="E143" s="115"/>
      <c r="F143" s="112"/>
      <c r="G143" s="112"/>
      <c r="H143" s="112"/>
      <c r="I143" s="112"/>
      <c r="J143" s="294"/>
      <c r="K143" s="289"/>
      <c r="L143" s="289"/>
      <c r="M143" s="289"/>
      <c r="N143" s="289"/>
      <c r="O143" s="289"/>
      <c r="P143" s="289"/>
      <c r="Q143" s="289"/>
      <c r="R143" s="288"/>
      <c r="S143" s="289"/>
      <c r="T143" s="289"/>
      <c r="U143" s="289"/>
      <c r="V143" s="289"/>
      <c r="W143" s="289"/>
      <c r="X143" s="289"/>
      <c r="Y143" s="289"/>
      <c r="Z143" s="294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94"/>
      <c r="AL143" s="289"/>
      <c r="AM143" s="289"/>
      <c r="AN143" s="289"/>
      <c r="AO143" s="289"/>
      <c r="AP143" s="289"/>
      <c r="AQ143" s="289"/>
      <c r="AR143" s="289"/>
      <c r="AS143" s="294"/>
      <c r="AT143" s="289"/>
      <c r="AU143" s="289"/>
      <c r="AV143" s="289"/>
      <c r="AW143" s="289"/>
      <c r="AX143" s="289"/>
      <c r="AY143" s="289"/>
      <c r="AZ143" s="289"/>
      <c r="BA143" s="299"/>
      <c r="BB143" s="300"/>
      <c r="BC143" s="299"/>
      <c r="BD143" s="299"/>
      <c r="BE143" s="299"/>
      <c r="BF143" s="299"/>
      <c r="BG143" s="299"/>
      <c r="BH143" s="299"/>
      <c r="BI143" s="299"/>
      <c r="BJ143" s="299"/>
      <c r="BK143" s="300"/>
      <c r="BL143" s="289"/>
      <c r="BM143" s="289"/>
      <c r="BN143" s="289"/>
      <c r="BO143" s="289"/>
      <c r="BP143" s="289"/>
      <c r="BQ143" s="289"/>
    </row>
    <row r="144" spans="1:69" s="87" customFormat="1" ht="22.5" customHeight="1">
      <c r="A144" s="166"/>
      <c r="B144" s="1437"/>
      <c r="C144" s="162"/>
      <c r="D144" s="164"/>
      <c r="E144" s="165"/>
      <c r="F144" s="164"/>
      <c r="G144" s="164"/>
      <c r="H144" s="112"/>
      <c r="I144" s="164"/>
      <c r="J144" s="300"/>
      <c r="K144" s="299"/>
      <c r="L144" s="299"/>
      <c r="M144" s="299"/>
      <c r="N144" s="299"/>
      <c r="O144" s="299"/>
      <c r="P144" s="299"/>
      <c r="Q144" s="299"/>
      <c r="R144" s="288"/>
      <c r="S144" s="299"/>
      <c r="T144" s="299"/>
      <c r="U144" s="299"/>
      <c r="V144" s="299"/>
      <c r="W144" s="289"/>
      <c r="X144" s="299"/>
      <c r="Y144" s="299"/>
      <c r="Z144" s="300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300"/>
      <c r="AL144" s="299"/>
      <c r="AM144" s="299"/>
      <c r="AN144" s="299"/>
      <c r="AO144" s="299"/>
      <c r="AP144" s="299"/>
      <c r="AQ144" s="299"/>
      <c r="AR144" s="299"/>
      <c r="AS144" s="300"/>
      <c r="AT144" s="299"/>
      <c r="AU144" s="299"/>
      <c r="AV144" s="299"/>
      <c r="AW144" s="299"/>
      <c r="AX144" s="299"/>
      <c r="AY144" s="299"/>
      <c r="AZ144" s="299"/>
      <c r="BA144" s="299"/>
      <c r="BB144" s="300"/>
      <c r="BC144" s="299"/>
      <c r="BD144" s="299"/>
      <c r="BE144" s="299"/>
      <c r="BF144" s="299"/>
      <c r="BG144" s="299"/>
      <c r="BH144" s="299"/>
      <c r="BI144" s="299"/>
      <c r="BJ144" s="299"/>
      <c r="BK144" s="300"/>
      <c r="BL144" s="289"/>
      <c r="BM144" s="289"/>
      <c r="BN144" s="289"/>
      <c r="BO144" s="289"/>
      <c r="BP144" s="289"/>
      <c r="BQ144" s="289"/>
    </row>
    <row r="145" spans="1:69" s="87" customFormat="1" ht="22.5" customHeight="1">
      <c r="A145" s="166"/>
      <c r="B145" s="1437"/>
      <c r="C145" s="162"/>
      <c r="D145" s="164"/>
      <c r="E145" s="165"/>
      <c r="F145" s="164"/>
      <c r="G145" s="164"/>
      <c r="H145" s="112"/>
      <c r="I145" s="164"/>
      <c r="J145" s="300"/>
      <c r="K145" s="299"/>
      <c r="L145" s="299"/>
      <c r="M145" s="299"/>
      <c r="N145" s="299"/>
      <c r="O145" s="299"/>
      <c r="P145" s="299"/>
      <c r="Q145" s="299"/>
      <c r="R145" s="288"/>
      <c r="S145" s="299"/>
      <c r="T145" s="299"/>
      <c r="U145" s="299"/>
      <c r="V145" s="299"/>
      <c r="W145" s="289"/>
      <c r="X145" s="299"/>
      <c r="Y145" s="299"/>
      <c r="Z145" s="300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300"/>
      <c r="AL145" s="299"/>
      <c r="AM145" s="299"/>
      <c r="AN145" s="299"/>
      <c r="AO145" s="299"/>
      <c r="AP145" s="299"/>
      <c r="AQ145" s="299"/>
      <c r="AR145" s="299"/>
      <c r="AS145" s="300"/>
      <c r="AT145" s="299"/>
      <c r="AU145" s="299"/>
      <c r="AV145" s="299"/>
      <c r="AW145" s="299"/>
      <c r="AX145" s="299"/>
      <c r="AY145" s="299"/>
      <c r="AZ145" s="299"/>
      <c r="BA145" s="299"/>
      <c r="BB145" s="300"/>
      <c r="BC145" s="299"/>
      <c r="BD145" s="299"/>
      <c r="BE145" s="299"/>
      <c r="BF145" s="299"/>
      <c r="BG145" s="299"/>
      <c r="BH145" s="299"/>
      <c r="BI145" s="299"/>
      <c r="BJ145" s="299"/>
      <c r="BK145" s="300"/>
      <c r="BL145" s="289"/>
      <c r="BM145" s="289"/>
      <c r="BN145" s="289"/>
      <c r="BO145" s="289"/>
      <c r="BP145" s="289"/>
      <c r="BQ145" s="289"/>
    </row>
    <row r="146" spans="1:69" s="87" customFormat="1" ht="22.5" customHeight="1">
      <c r="A146" s="166"/>
      <c r="B146" s="1437"/>
      <c r="C146" s="162"/>
      <c r="D146" s="164"/>
      <c r="E146" s="165"/>
      <c r="F146" s="164"/>
      <c r="G146" s="164"/>
      <c r="H146" s="112"/>
      <c r="I146" s="164"/>
      <c r="J146" s="300"/>
      <c r="K146" s="299"/>
      <c r="L146" s="299"/>
      <c r="M146" s="299"/>
      <c r="N146" s="299"/>
      <c r="O146" s="299"/>
      <c r="P146" s="299"/>
      <c r="Q146" s="299"/>
      <c r="R146" s="288"/>
      <c r="S146" s="299"/>
      <c r="T146" s="299"/>
      <c r="U146" s="299"/>
      <c r="V146" s="299"/>
      <c r="W146" s="289"/>
      <c r="X146" s="299"/>
      <c r="Y146" s="299"/>
      <c r="Z146" s="300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300"/>
      <c r="AL146" s="299"/>
      <c r="AM146" s="299"/>
      <c r="AN146" s="299"/>
      <c r="AO146" s="299"/>
      <c r="AP146" s="299"/>
      <c r="AQ146" s="299"/>
      <c r="AR146" s="299"/>
      <c r="AS146" s="300"/>
      <c r="AT146" s="299"/>
      <c r="AU146" s="299"/>
      <c r="AV146" s="299"/>
      <c r="AW146" s="299"/>
      <c r="AX146" s="299"/>
      <c r="AY146" s="299"/>
      <c r="AZ146" s="299"/>
      <c r="BA146" s="299"/>
      <c r="BB146" s="300"/>
      <c r="BC146" s="299"/>
      <c r="BD146" s="299"/>
      <c r="BE146" s="299"/>
      <c r="BF146" s="299"/>
      <c r="BG146" s="299"/>
      <c r="BH146" s="299"/>
      <c r="BI146" s="299"/>
      <c r="BJ146" s="299"/>
      <c r="BK146" s="300"/>
      <c r="BL146" s="289"/>
      <c r="BM146" s="289"/>
      <c r="BN146" s="289"/>
      <c r="BO146" s="289"/>
      <c r="BP146" s="289"/>
      <c r="BQ146" s="289"/>
    </row>
    <row r="147" spans="1:69" s="87" customFormat="1" ht="22.5" customHeight="1">
      <c r="A147" s="166"/>
      <c r="B147" s="1437"/>
      <c r="C147" s="162"/>
      <c r="D147" s="164"/>
      <c r="E147" s="165"/>
      <c r="F147" s="164"/>
      <c r="G147" s="164"/>
      <c r="H147" s="112"/>
      <c r="I147" s="164"/>
      <c r="J147" s="300"/>
      <c r="K147" s="299"/>
      <c r="L147" s="299"/>
      <c r="M147" s="299"/>
      <c r="N147" s="299"/>
      <c r="O147" s="299"/>
      <c r="P147" s="299"/>
      <c r="Q147" s="299"/>
      <c r="R147" s="288"/>
      <c r="S147" s="299"/>
      <c r="T147" s="299"/>
      <c r="U147" s="299"/>
      <c r="V147" s="299"/>
      <c r="W147" s="289"/>
      <c r="X147" s="299"/>
      <c r="Y147" s="299"/>
      <c r="Z147" s="300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300"/>
      <c r="AL147" s="299"/>
      <c r="AM147" s="299"/>
      <c r="AN147" s="299"/>
      <c r="AO147" s="299"/>
      <c r="AP147" s="299"/>
      <c r="AQ147" s="299"/>
      <c r="AR147" s="299"/>
      <c r="AS147" s="300"/>
      <c r="AT147" s="299"/>
      <c r="AU147" s="299"/>
      <c r="AV147" s="299"/>
      <c r="AW147" s="299"/>
      <c r="AX147" s="299"/>
      <c r="AY147" s="299"/>
      <c r="AZ147" s="299"/>
      <c r="BA147" s="299"/>
      <c r="BB147" s="300"/>
      <c r="BC147" s="299"/>
      <c r="BD147" s="299"/>
      <c r="BE147" s="299"/>
      <c r="BF147" s="299"/>
      <c r="BG147" s="299"/>
      <c r="BH147" s="299"/>
      <c r="BI147" s="299"/>
      <c r="BJ147" s="299"/>
      <c r="BK147" s="300"/>
      <c r="BL147" s="289"/>
      <c r="BM147" s="289"/>
      <c r="BN147" s="289"/>
      <c r="BO147" s="289"/>
      <c r="BP147" s="289"/>
      <c r="BQ147" s="289"/>
    </row>
    <row r="148" spans="1:69" s="87" customFormat="1" ht="22.5" customHeight="1">
      <c r="A148" s="166"/>
      <c r="B148" s="1437"/>
      <c r="C148" s="162"/>
      <c r="D148" s="164"/>
      <c r="E148" s="165"/>
      <c r="F148" s="164"/>
      <c r="G148" s="164"/>
      <c r="H148" s="112"/>
      <c r="I148" s="164"/>
      <c r="J148" s="300"/>
      <c r="K148" s="299"/>
      <c r="L148" s="299"/>
      <c r="M148" s="299"/>
      <c r="N148" s="299"/>
      <c r="O148" s="299"/>
      <c r="P148" s="299"/>
      <c r="Q148" s="299"/>
      <c r="R148" s="288"/>
      <c r="S148" s="299"/>
      <c r="T148" s="299"/>
      <c r="U148" s="299"/>
      <c r="V148" s="299"/>
      <c r="W148" s="289"/>
      <c r="X148" s="299"/>
      <c r="Y148" s="299"/>
      <c r="Z148" s="300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300"/>
      <c r="AL148" s="299"/>
      <c r="AM148" s="299"/>
      <c r="AN148" s="299"/>
      <c r="AO148" s="299"/>
      <c r="AP148" s="299"/>
      <c r="AQ148" s="299"/>
      <c r="AR148" s="299"/>
      <c r="AS148" s="300"/>
      <c r="AT148" s="299"/>
      <c r="AU148" s="299"/>
      <c r="AV148" s="299"/>
      <c r="AW148" s="299"/>
      <c r="AX148" s="299"/>
      <c r="AY148" s="299"/>
      <c r="AZ148" s="299"/>
      <c r="BA148" s="299"/>
      <c r="BB148" s="300"/>
      <c r="BC148" s="301"/>
      <c r="BD148" s="301"/>
      <c r="BE148" s="301"/>
      <c r="BF148" s="301"/>
      <c r="BG148" s="301"/>
      <c r="BH148" s="301"/>
      <c r="BI148" s="301"/>
      <c r="BJ148" s="299"/>
      <c r="BK148" s="300"/>
      <c r="BL148" s="299"/>
      <c r="BM148" s="299"/>
      <c r="BN148" s="299"/>
      <c r="BO148" s="299"/>
      <c r="BP148" s="299"/>
      <c r="BQ148" s="299"/>
    </row>
    <row r="149" spans="1:69" s="87" customFormat="1" ht="22.5" customHeight="1">
      <c r="A149" s="166"/>
      <c r="B149" s="40"/>
      <c r="H149" s="40"/>
      <c r="J149" s="300"/>
      <c r="K149" s="299"/>
      <c r="L149" s="299"/>
      <c r="M149" s="299"/>
      <c r="N149" s="299"/>
      <c r="O149" s="299"/>
      <c r="P149" s="299"/>
      <c r="Q149" s="299"/>
      <c r="R149" s="288"/>
      <c r="S149" s="299"/>
      <c r="T149" s="299"/>
      <c r="U149" s="299"/>
      <c r="V149" s="299"/>
      <c r="W149" s="289"/>
      <c r="X149" s="299"/>
      <c r="Y149" s="299"/>
      <c r="Z149" s="300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300"/>
      <c r="AL149" s="299"/>
      <c r="AM149" s="299"/>
      <c r="AN149" s="299"/>
      <c r="AO149" s="299"/>
      <c r="AP149" s="299"/>
      <c r="AQ149" s="299"/>
      <c r="AR149" s="299"/>
      <c r="AS149" s="300"/>
      <c r="AT149" s="299"/>
      <c r="AU149" s="299"/>
      <c r="AV149" s="299"/>
      <c r="AW149" s="299"/>
      <c r="AX149" s="299"/>
      <c r="AY149" s="299"/>
      <c r="AZ149" s="299"/>
      <c r="BA149" s="299"/>
      <c r="BB149" s="300"/>
      <c r="BC149" s="299"/>
      <c r="BD149" s="299"/>
      <c r="BE149" s="299"/>
      <c r="BF149" s="299"/>
      <c r="BG149" s="299"/>
      <c r="BH149" s="299"/>
      <c r="BI149" s="299"/>
      <c r="BJ149" s="299"/>
      <c r="BK149" s="300"/>
      <c r="BL149" s="299"/>
      <c r="BM149" s="299"/>
      <c r="BN149" s="299"/>
      <c r="BO149" s="299"/>
      <c r="BP149" s="299"/>
      <c r="BQ149" s="299"/>
    </row>
    <row r="150" spans="1:69" s="87" customFormat="1" ht="22.5" customHeight="1">
      <c r="B150" s="40"/>
      <c r="H150" s="40"/>
      <c r="J150" s="300"/>
      <c r="K150" s="299"/>
      <c r="L150" s="299"/>
      <c r="M150" s="299"/>
      <c r="N150" s="299"/>
      <c r="O150" s="299"/>
      <c r="P150" s="299"/>
      <c r="Q150" s="299"/>
      <c r="R150" s="288"/>
      <c r="S150" s="299"/>
      <c r="T150" s="299"/>
      <c r="U150" s="299"/>
      <c r="V150" s="299"/>
      <c r="W150" s="289"/>
      <c r="X150" s="299"/>
      <c r="Y150" s="299"/>
      <c r="Z150" s="300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300"/>
      <c r="AL150" s="299"/>
      <c r="AM150" s="299"/>
      <c r="AN150" s="299"/>
      <c r="AO150" s="299"/>
      <c r="AP150" s="299"/>
      <c r="AQ150" s="299"/>
      <c r="AR150" s="299"/>
      <c r="AS150" s="300"/>
      <c r="AT150" s="299"/>
      <c r="AU150" s="299"/>
      <c r="AV150" s="299"/>
      <c r="AW150" s="299"/>
      <c r="AX150" s="299"/>
      <c r="AY150" s="299"/>
      <c r="AZ150" s="299"/>
      <c r="BA150" s="299"/>
      <c r="BB150" s="300"/>
      <c r="BC150" s="301"/>
      <c r="BD150" s="301"/>
      <c r="BE150" s="301"/>
      <c r="BF150" s="301"/>
      <c r="BG150" s="301"/>
      <c r="BH150" s="301"/>
      <c r="BI150" s="301"/>
      <c r="BJ150" s="299"/>
      <c r="BK150" s="300"/>
      <c r="BL150" s="299"/>
      <c r="BM150" s="299"/>
      <c r="BN150" s="299"/>
      <c r="BO150" s="299"/>
      <c r="BP150" s="299"/>
      <c r="BQ150" s="299"/>
    </row>
    <row r="151" spans="1:69" s="87" customFormat="1" ht="22.5" customHeight="1">
      <c r="A151" s="166"/>
      <c r="B151" s="40"/>
      <c r="H151" s="40"/>
      <c r="J151" s="300"/>
      <c r="K151" s="299"/>
      <c r="L151" s="299"/>
      <c r="M151" s="299"/>
      <c r="N151" s="299"/>
      <c r="O151" s="299"/>
      <c r="P151" s="299"/>
      <c r="Q151" s="299"/>
      <c r="R151" s="288"/>
      <c r="S151" s="299"/>
      <c r="T151" s="299"/>
      <c r="U151" s="299"/>
      <c r="V151" s="299"/>
      <c r="W151" s="289"/>
      <c r="X151" s="299"/>
      <c r="Y151" s="299"/>
      <c r="Z151" s="300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300"/>
      <c r="AL151" s="299"/>
      <c r="AM151" s="299"/>
      <c r="AN151" s="299"/>
      <c r="AO151" s="299"/>
      <c r="AP151" s="299"/>
      <c r="AQ151" s="299"/>
      <c r="AR151" s="299"/>
      <c r="AS151" s="300"/>
      <c r="AT151" s="299"/>
      <c r="AU151" s="299"/>
      <c r="AV151" s="299"/>
      <c r="AW151" s="299"/>
      <c r="AX151" s="299"/>
      <c r="AY151" s="299"/>
      <c r="AZ151" s="299"/>
      <c r="BA151" s="299"/>
      <c r="BB151" s="300"/>
      <c r="BC151" s="299"/>
      <c r="BD151" s="299"/>
      <c r="BE151" s="299"/>
      <c r="BF151" s="299"/>
      <c r="BG151" s="299"/>
      <c r="BH151" s="299"/>
      <c r="BI151" s="299"/>
      <c r="BJ151" s="299"/>
      <c r="BK151" s="300"/>
      <c r="BL151" s="299"/>
      <c r="BM151" s="299"/>
      <c r="BN151" s="299"/>
      <c r="BO151" s="299"/>
      <c r="BP151" s="299"/>
      <c r="BQ151" s="299"/>
    </row>
    <row r="152" spans="1:69" s="87" customFormat="1" ht="22.5" customHeight="1">
      <c r="A152" s="166"/>
      <c r="B152" s="40"/>
      <c r="H152" s="40"/>
      <c r="J152" s="300"/>
      <c r="K152" s="299"/>
      <c r="L152" s="299"/>
      <c r="M152" s="299"/>
      <c r="N152" s="299"/>
      <c r="O152" s="299"/>
      <c r="P152" s="299"/>
      <c r="Q152" s="299"/>
      <c r="R152" s="288"/>
      <c r="S152" s="299"/>
      <c r="T152" s="299"/>
      <c r="U152" s="299"/>
      <c r="V152" s="299"/>
      <c r="W152" s="289"/>
      <c r="X152" s="299"/>
      <c r="Y152" s="299"/>
      <c r="Z152" s="300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300"/>
      <c r="AL152" s="299"/>
      <c r="AM152" s="299"/>
      <c r="AN152" s="299"/>
      <c r="AO152" s="299"/>
      <c r="AP152" s="299"/>
      <c r="AQ152" s="299"/>
      <c r="AR152" s="299"/>
      <c r="AS152" s="300"/>
      <c r="AT152" s="299"/>
      <c r="AU152" s="299"/>
      <c r="AV152" s="299"/>
      <c r="AW152" s="299"/>
      <c r="AX152" s="299"/>
      <c r="AY152" s="299"/>
      <c r="AZ152" s="299"/>
      <c r="BA152" s="299"/>
      <c r="BB152" s="300"/>
      <c r="BC152" s="299"/>
      <c r="BD152" s="299"/>
      <c r="BE152" s="299"/>
      <c r="BF152" s="299"/>
      <c r="BG152" s="299"/>
      <c r="BH152" s="299"/>
      <c r="BI152" s="299"/>
      <c r="BJ152" s="299"/>
      <c r="BK152" s="300"/>
      <c r="BL152" s="299"/>
      <c r="BM152" s="299"/>
      <c r="BN152" s="299"/>
      <c r="BO152" s="299"/>
      <c r="BP152" s="299"/>
      <c r="BQ152" s="299"/>
    </row>
    <row r="153" spans="1:69" s="87" customFormat="1" ht="22.5" customHeight="1">
      <c r="A153" s="167"/>
      <c r="B153" s="40"/>
      <c r="H153" s="40"/>
      <c r="J153" s="300"/>
      <c r="K153" s="299"/>
      <c r="L153" s="299"/>
      <c r="M153" s="299"/>
      <c r="N153" s="299"/>
      <c r="O153" s="299"/>
      <c r="P153" s="299"/>
      <c r="Q153" s="299"/>
      <c r="R153" s="288"/>
      <c r="S153" s="299"/>
      <c r="T153" s="299"/>
      <c r="U153" s="299"/>
      <c r="V153" s="299"/>
      <c r="W153" s="289"/>
      <c r="X153" s="299"/>
      <c r="Y153" s="299"/>
      <c r="Z153" s="300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300"/>
      <c r="AL153" s="299"/>
      <c r="AM153" s="299"/>
      <c r="AN153" s="299"/>
      <c r="AO153" s="299"/>
      <c r="AP153" s="299"/>
      <c r="AQ153" s="299"/>
      <c r="AR153" s="299"/>
      <c r="AS153" s="300"/>
      <c r="AT153" s="299"/>
      <c r="AU153" s="299"/>
      <c r="AV153" s="299"/>
      <c r="AW153" s="299"/>
      <c r="AX153" s="299"/>
      <c r="AY153" s="299"/>
      <c r="AZ153" s="299"/>
      <c r="BA153" s="301"/>
      <c r="BB153" s="300"/>
      <c r="BC153" s="299"/>
      <c r="BD153" s="299"/>
      <c r="BE153" s="299"/>
      <c r="BF153" s="299"/>
      <c r="BG153" s="299"/>
      <c r="BH153" s="299"/>
      <c r="BI153" s="299"/>
      <c r="BJ153" s="301"/>
      <c r="BK153" s="302"/>
      <c r="BL153" s="299"/>
      <c r="BM153" s="299"/>
      <c r="BN153" s="299"/>
      <c r="BO153" s="299"/>
      <c r="BP153" s="299"/>
      <c r="BQ153" s="299"/>
    </row>
    <row r="154" spans="1:69" s="87" customFormat="1" ht="22.5" customHeight="1">
      <c r="A154" s="167"/>
      <c r="B154" s="40"/>
      <c r="H154" s="40"/>
      <c r="J154" s="300"/>
      <c r="K154" s="299"/>
      <c r="L154" s="299"/>
      <c r="M154" s="299"/>
      <c r="N154" s="299"/>
      <c r="O154" s="299"/>
      <c r="P154" s="299"/>
      <c r="Q154" s="299"/>
      <c r="R154" s="288"/>
      <c r="S154" s="299"/>
      <c r="T154" s="299"/>
      <c r="U154" s="299"/>
      <c r="V154" s="299"/>
      <c r="W154" s="289"/>
      <c r="X154" s="299"/>
      <c r="Y154" s="299"/>
      <c r="Z154" s="300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300"/>
      <c r="AL154" s="299"/>
      <c r="AM154" s="299"/>
      <c r="AN154" s="299"/>
      <c r="AO154" s="299"/>
      <c r="AP154" s="299"/>
      <c r="AQ154" s="299"/>
      <c r="AR154" s="299"/>
      <c r="AS154" s="300"/>
      <c r="AT154" s="299"/>
      <c r="AU154" s="299"/>
      <c r="AV154" s="299"/>
      <c r="AW154" s="299"/>
      <c r="AX154" s="299"/>
      <c r="AY154" s="299"/>
      <c r="AZ154" s="299"/>
      <c r="BA154" s="299"/>
      <c r="BB154" s="302"/>
      <c r="BC154" s="299"/>
      <c r="BD154" s="299"/>
      <c r="BE154" s="299"/>
      <c r="BF154" s="299"/>
      <c r="BG154" s="299"/>
      <c r="BH154" s="299"/>
      <c r="BI154" s="299"/>
      <c r="BJ154" s="299"/>
      <c r="BK154" s="300"/>
      <c r="BL154" s="299"/>
      <c r="BM154" s="299"/>
      <c r="BN154" s="299"/>
      <c r="BO154" s="299"/>
      <c r="BP154" s="299"/>
      <c r="BQ154" s="299"/>
    </row>
    <row r="155" spans="1:69" s="167" customFormat="1" ht="22.5" customHeight="1">
      <c r="B155" s="44"/>
      <c r="H155" s="44"/>
      <c r="J155" s="302"/>
      <c r="K155" s="301"/>
      <c r="L155" s="301"/>
      <c r="M155" s="301"/>
      <c r="N155" s="301"/>
      <c r="O155" s="301"/>
      <c r="P155" s="301"/>
      <c r="Q155" s="301"/>
      <c r="R155" s="287"/>
      <c r="S155" s="301"/>
      <c r="T155" s="301"/>
      <c r="U155" s="301"/>
      <c r="V155" s="301"/>
      <c r="W155" s="303"/>
      <c r="X155" s="301"/>
      <c r="Y155" s="301"/>
      <c r="Z155" s="302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2"/>
      <c r="AL155" s="301"/>
      <c r="AM155" s="301"/>
      <c r="AN155" s="301"/>
      <c r="AO155" s="301"/>
      <c r="AP155" s="301"/>
      <c r="AQ155" s="301"/>
      <c r="AR155" s="301"/>
      <c r="AS155" s="302"/>
      <c r="AT155" s="301"/>
      <c r="AU155" s="301"/>
      <c r="AV155" s="301"/>
      <c r="AW155" s="301"/>
      <c r="AX155" s="301"/>
      <c r="AY155" s="301"/>
      <c r="AZ155" s="301"/>
      <c r="BA155" s="301"/>
      <c r="BB155" s="300"/>
      <c r="BC155" s="177"/>
      <c r="BD155" s="177"/>
      <c r="BE155" s="177"/>
      <c r="BF155" s="177"/>
      <c r="BG155" s="177"/>
      <c r="BH155" s="177"/>
      <c r="BI155" s="177"/>
      <c r="BJ155" s="301"/>
      <c r="BK155" s="302"/>
      <c r="BL155" s="299"/>
      <c r="BM155" s="299"/>
      <c r="BN155" s="299"/>
      <c r="BO155" s="299"/>
      <c r="BP155" s="299"/>
      <c r="BQ155" s="299"/>
    </row>
    <row r="156" spans="1:69" s="87" customFormat="1" ht="22.5" customHeight="1">
      <c r="B156" s="40"/>
      <c r="H156" s="40"/>
      <c r="J156" s="300"/>
      <c r="K156" s="299"/>
      <c r="L156" s="299"/>
      <c r="M156" s="299"/>
      <c r="N156" s="299"/>
      <c r="O156" s="299"/>
      <c r="P156" s="299"/>
      <c r="Q156" s="299"/>
      <c r="R156" s="288"/>
      <c r="S156" s="299"/>
      <c r="T156" s="299"/>
      <c r="U156" s="299"/>
      <c r="V156" s="299"/>
      <c r="W156" s="289"/>
      <c r="X156" s="299"/>
      <c r="Y156" s="299"/>
      <c r="Z156" s="300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300"/>
      <c r="AL156" s="299"/>
      <c r="AM156" s="299"/>
      <c r="AN156" s="299"/>
      <c r="AO156" s="299"/>
      <c r="AP156" s="299"/>
      <c r="AQ156" s="299"/>
      <c r="AR156" s="299"/>
      <c r="AS156" s="300"/>
      <c r="AT156" s="299"/>
      <c r="AU156" s="299"/>
      <c r="AV156" s="299"/>
      <c r="AW156" s="299"/>
      <c r="AX156" s="299"/>
      <c r="AY156" s="299"/>
      <c r="AZ156" s="299"/>
      <c r="BA156" s="299"/>
      <c r="BB156" s="302"/>
      <c r="BC156" s="177"/>
      <c r="BD156" s="177"/>
      <c r="BE156" s="177"/>
      <c r="BF156" s="177"/>
      <c r="BG156" s="177"/>
      <c r="BH156" s="177"/>
      <c r="BI156" s="177"/>
      <c r="BJ156" s="299"/>
      <c r="BK156" s="300"/>
      <c r="BL156" s="299"/>
      <c r="BM156" s="299"/>
      <c r="BN156" s="299"/>
      <c r="BO156" s="299"/>
      <c r="BP156" s="299"/>
      <c r="BQ156" s="299"/>
    </row>
    <row r="157" spans="1:69" s="167" customFormat="1" ht="22.5" customHeight="1">
      <c r="B157" s="44"/>
      <c r="H157" s="44"/>
      <c r="J157" s="302"/>
      <c r="K157" s="301"/>
      <c r="L157" s="301"/>
      <c r="M157" s="301"/>
      <c r="N157" s="301"/>
      <c r="O157" s="301"/>
      <c r="P157" s="301"/>
      <c r="Q157" s="301"/>
      <c r="R157" s="287"/>
      <c r="S157" s="301"/>
      <c r="T157" s="301"/>
      <c r="U157" s="301"/>
      <c r="V157" s="301"/>
      <c r="W157" s="303"/>
      <c r="X157" s="301"/>
      <c r="Y157" s="301"/>
      <c r="Z157" s="302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2"/>
      <c r="AL157" s="301"/>
      <c r="AM157" s="301"/>
      <c r="AN157" s="301"/>
      <c r="AO157" s="301"/>
      <c r="AP157" s="301"/>
      <c r="AQ157" s="301"/>
      <c r="AR157" s="301"/>
      <c r="AS157" s="302"/>
      <c r="AT157" s="301"/>
      <c r="AU157" s="301"/>
      <c r="AV157" s="301"/>
      <c r="AW157" s="301"/>
      <c r="AX157" s="301"/>
      <c r="AY157" s="301"/>
      <c r="AZ157" s="301"/>
      <c r="BA157" s="299"/>
      <c r="BB157" s="300"/>
      <c r="BC157" s="177"/>
      <c r="BD157" s="177"/>
      <c r="BE157" s="177"/>
      <c r="BF157" s="177"/>
      <c r="BG157" s="177"/>
      <c r="BH157" s="177"/>
      <c r="BI157" s="177"/>
      <c r="BJ157" s="299"/>
      <c r="BK157" s="300"/>
      <c r="BL157" s="299"/>
      <c r="BM157" s="299"/>
      <c r="BN157" s="299"/>
      <c r="BO157" s="299"/>
      <c r="BP157" s="299"/>
      <c r="BQ157" s="299"/>
    </row>
    <row r="158" spans="1:69" s="87" customFormat="1" ht="22.5" customHeight="1">
      <c r="B158" s="40"/>
      <c r="H158" s="40"/>
      <c r="J158" s="300"/>
      <c r="K158" s="299"/>
      <c r="L158" s="299"/>
      <c r="M158" s="299"/>
      <c r="N158" s="299"/>
      <c r="O158" s="299"/>
      <c r="P158" s="299"/>
      <c r="Q158" s="299"/>
      <c r="R158" s="288"/>
      <c r="S158" s="299"/>
      <c r="T158" s="299"/>
      <c r="U158" s="299"/>
      <c r="V158" s="299"/>
      <c r="W158" s="289"/>
      <c r="X158" s="299"/>
      <c r="Y158" s="299"/>
      <c r="Z158" s="300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300"/>
      <c r="AL158" s="299"/>
      <c r="AM158" s="299"/>
      <c r="AN158" s="299"/>
      <c r="AO158" s="299"/>
      <c r="AP158" s="299"/>
      <c r="AQ158" s="299"/>
      <c r="AR158" s="299"/>
      <c r="AS158" s="300"/>
      <c r="AT158" s="299"/>
      <c r="AU158" s="299"/>
      <c r="AV158" s="299"/>
      <c r="AW158" s="299"/>
      <c r="AX158" s="299"/>
      <c r="AY158" s="299"/>
      <c r="AZ158" s="299"/>
      <c r="BA158" s="299"/>
      <c r="BB158" s="300"/>
      <c r="BC158" s="177"/>
      <c r="BD158" s="177"/>
      <c r="BE158" s="177"/>
      <c r="BF158" s="177"/>
      <c r="BG158" s="177"/>
      <c r="BH158" s="177"/>
      <c r="BI158" s="177"/>
      <c r="BJ158" s="299"/>
      <c r="BK158" s="300"/>
      <c r="BL158" s="299"/>
      <c r="BM158" s="299"/>
      <c r="BN158" s="299"/>
      <c r="BO158" s="299"/>
      <c r="BP158" s="299"/>
      <c r="BQ158" s="299"/>
    </row>
    <row r="159" spans="1:69" s="87" customFormat="1" ht="22.5" customHeight="1">
      <c r="B159" s="40"/>
      <c r="D159" s="39"/>
      <c r="E159" s="39"/>
      <c r="H159" s="40"/>
      <c r="J159" s="300"/>
      <c r="K159" s="299"/>
      <c r="L159" s="299"/>
      <c r="M159" s="299"/>
      <c r="N159" s="299"/>
      <c r="O159" s="299"/>
      <c r="P159" s="299"/>
      <c r="Q159" s="299"/>
      <c r="R159" s="288"/>
      <c r="S159" s="299"/>
      <c r="T159" s="299"/>
      <c r="U159" s="299"/>
      <c r="V159" s="299"/>
      <c r="W159" s="289"/>
      <c r="X159" s="299"/>
      <c r="Y159" s="299"/>
      <c r="Z159" s="300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300"/>
      <c r="AL159" s="299"/>
      <c r="AM159" s="299"/>
      <c r="AN159" s="299"/>
      <c r="AO159" s="299"/>
      <c r="AP159" s="299"/>
      <c r="AQ159" s="299"/>
      <c r="AR159" s="299"/>
      <c r="AS159" s="300"/>
      <c r="AT159" s="299"/>
      <c r="AU159" s="299"/>
      <c r="AV159" s="299"/>
      <c r="AW159" s="299"/>
      <c r="AX159" s="299"/>
      <c r="AY159" s="299"/>
      <c r="AZ159" s="299"/>
      <c r="BA159" s="299"/>
      <c r="BB159" s="300"/>
      <c r="BC159" s="243"/>
      <c r="BD159" s="243"/>
      <c r="BE159" s="243"/>
      <c r="BF159" s="243"/>
      <c r="BG159" s="243"/>
      <c r="BH159" s="243"/>
      <c r="BI159" s="243"/>
      <c r="BJ159" s="299"/>
      <c r="BK159" s="300"/>
      <c r="BL159" s="301"/>
      <c r="BM159" s="301"/>
      <c r="BN159" s="301"/>
      <c r="BO159" s="301"/>
      <c r="BP159" s="301"/>
      <c r="BQ159" s="301"/>
    </row>
    <row r="160" spans="1:69" s="87" customFormat="1" ht="22.5" customHeight="1">
      <c r="A160" s="167"/>
      <c r="B160" s="40"/>
      <c r="H160" s="40"/>
      <c r="J160" s="300"/>
      <c r="K160" s="299"/>
      <c r="L160" s="299"/>
      <c r="M160" s="299"/>
      <c r="N160" s="299"/>
      <c r="O160" s="299"/>
      <c r="P160" s="299"/>
      <c r="Q160" s="299"/>
      <c r="R160" s="288"/>
      <c r="S160" s="299"/>
      <c r="T160" s="299"/>
      <c r="U160" s="299"/>
      <c r="V160" s="299"/>
      <c r="W160" s="289"/>
      <c r="X160" s="299"/>
      <c r="Y160" s="299"/>
      <c r="Z160" s="300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300"/>
      <c r="AL160" s="299"/>
      <c r="AM160" s="299"/>
      <c r="AN160" s="299"/>
      <c r="AO160" s="299"/>
      <c r="AP160" s="299"/>
      <c r="AQ160" s="299"/>
      <c r="AR160" s="299"/>
      <c r="AS160" s="300"/>
      <c r="AT160" s="299"/>
      <c r="AU160" s="299"/>
      <c r="AV160" s="299"/>
      <c r="AW160" s="299"/>
      <c r="AX160" s="299"/>
      <c r="AY160" s="299"/>
      <c r="AZ160" s="299"/>
      <c r="BA160" s="177"/>
      <c r="BB160" s="300"/>
      <c r="BC160" s="243"/>
      <c r="BD160" s="243"/>
      <c r="BE160" s="243"/>
      <c r="BF160" s="243"/>
      <c r="BG160" s="243"/>
      <c r="BH160" s="243"/>
      <c r="BI160" s="243"/>
      <c r="BJ160" s="177"/>
      <c r="BK160" s="290"/>
      <c r="BL160" s="299"/>
      <c r="BM160" s="299"/>
      <c r="BN160" s="299"/>
      <c r="BO160" s="299"/>
      <c r="BP160" s="299"/>
      <c r="BQ160" s="299"/>
    </row>
    <row r="161" spans="2:69" s="87" customFormat="1" ht="22.5" customHeight="1">
      <c r="B161" s="40"/>
      <c r="H161" s="40"/>
      <c r="J161" s="300"/>
      <c r="K161" s="299"/>
      <c r="L161" s="299"/>
      <c r="M161" s="299"/>
      <c r="N161" s="299"/>
      <c r="O161" s="299"/>
      <c r="P161" s="299"/>
      <c r="Q161" s="299"/>
      <c r="R161" s="288"/>
      <c r="S161" s="299"/>
      <c r="T161" s="299"/>
      <c r="U161" s="299"/>
      <c r="V161" s="299"/>
      <c r="W161" s="289"/>
      <c r="X161" s="299"/>
      <c r="Y161" s="299"/>
      <c r="Z161" s="300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300"/>
      <c r="AL161" s="299"/>
      <c r="AM161" s="299"/>
      <c r="AN161" s="299"/>
      <c r="AO161" s="299"/>
      <c r="AP161" s="299"/>
      <c r="AQ161" s="299"/>
      <c r="AR161" s="299"/>
      <c r="AS161" s="300"/>
      <c r="AT161" s="299"/>
      <c r="AU161" s="299"/>
      <c r="AV161" s="299"/>
      <c r="AW161" s="299"/>
      <c r="AX161" s="299"/>
      <c r="AY161" s="299"/>
      <c r="AZ161" s="299"/>
      <c r="BA161" s="177"/>
      <c r="BB161" s="290"/>
      <c r="BC161" s="243"/>
      <c r="BD161" s="243"/>
      <c r="BE161" s="243"/>
      <c r="BF161" s="243"/>
      <c r="BG161" s="243"/>
      <c r="BH161" s="243"/>
      <c r="BI161" s="243"/>
      <c r="BJ161" s="177"/>
      <c r="BK161" s="290"/>
      <c r="BL161" s="301"/>
      <c r="BM161" s="301"/>
      <c r="BN161" s="301"/>
      <c r="BO161" s="301"/>
      <c r="BP161" s="301"/>
      <c r="BQ161" s="301"/>
    </row>
    <row r="162" spans="2:69" ht="22.5" customHeight="1">
      <c r="BC162" s="243"/>
      <c r="BD162" s="243"/>
      <c r="BE162" s="243"/>
      <c r="BF162" s="243"/>
      <c r="BG162" s="243"/>
      <c r="BH162" s="243"/>
      <c r="BI162" s="243"/>
      <c r="BL162" s="299"/>
      <c r="BM162" s="299"/>
      <c r="BN162" s="299"/>
      <c r="BO162" s="299"/>
      <c r="BP162" s="299"/>
      <c r="BQ162" s="299"/>
    </row>
    <row r="163" spans="2:69" ht="22.5" customHeight="1">
      <c r="BC163" s="243"/>
      <c r="BD163" s="243"/>
      <c r="BE163" s="243"/>
      <c r="BF163" s="243"/>
      <c r="BG163" s="243"/>
      <c r="BH163" s="243"/>
      <c r="BI163" s="243"/>
      <c r="BL163" s="299"/>
      <c r="BM163" s="299"/>
      <c r="BN163" s="299"/>
      <c r="BO163" s="299"/>
      <c r="BP163" s="299"/>
      <c r="BQ163" s="299"/>
    </row>
    <row r="164" spans="2:69" ht="22.5" customHeight="1">
      <c r="BA164" s="243"/>
      <c r="BC164" s="243"/>
      <c r="BD164" s="243"/>
      <c r="BE164" s="243"/>
      <c r="BF164" s="243"/>
      <c r="BG164" s="243"/>
      <c r="BH164" s="243"/>
      <c r="BI164" s="243"/>
      <c r="BJ164" s="243"/>
      <c r="BK164" s="288"/>
      <c r="BL164" s="299"/>
      <c r="BM164" s="299"/>
      <c r="BN164" s="299"/>
      <c r="BO164" s="299"/>
      <c r="BP164" s="299"/>
      <c r="BQ164" s="299"/>
    </row>
    <row r="165" spans="2:69" ht="22.5" customHeight="1">
      <c r="Q165" s="270"/>
      <c r="R165" s="304"/>
      <c r="S165" s="1439"/>
      <c r="BA165" s="243"/>
      <c r="BB165" s="288"/>
      <c r="BC165" s="243"/>
      <c r="BD165" s="243"/>
      <c r="BE165" s="243"/>
      <c r="BF165" s="243"/>
      <c r="BG165" s="243"/>
      <c r="BH165" s="243"/>
      <c r="BI165" s="243"/>
      <c r="BJ165" s="243"/>
      <c r="BK165" s="288"/>
      <c r="BL165" s="299"/>
      <c r="BM165" s="299"/>
      <c r="BN165" s="299"/>
      <c r="BO165" s="299"/>
      <c r="BP165" s="299"/>
      <c r="BQ165" s="299"/>
    </row>
    <row r="166" spans="2:69" s="33" customFormat="1" ht="22.5" customHeight="1">
      <c r="B166" s="40"/>
      <c r="H166" s="40"/>
      <c r="J166" s="288"/>
      <c r="K166" s="243"/>
      <c r="L166" s="243"/>
      <c r="M166" s="243"/>
      <c r="N166" s="243"/>
      <c r="O166" s="243"/>
      <c r="P166" s="243"/>
      <c r="Q166" s="284"/>
      <c r="R166" s="288"/>
      <c r="S166" s="243"/>
      <c r="T166" s="243"/>
      <c r="U166" s="243"/>
      <c r="V166" s="243"/>
      <c r="W166" s="289"/>
      <c r="X166" s="243"/>
      <c r="Y166" s="243"/>
      <c r="Z166" s="288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88"/>
      <c r="AL166" s="243"/>
      <c r="AM166" s="243"/>
      <c r="AN166" s="243"/>
      <c r="AO166" s="243"/>
      <c r="AP166" s="243"/>
      <c r="AQ166" s="243"/>
      <c r="AR166" s="243"/>
      <c r="AS166" s="288"/>
      <c r="AT166" s="243"/>
      <c r="AU166" s="243"/>
      <c r="AV166" s="243"/>
      <c r="AW166" s="243"/>
      <c r="AX166" s="243"/>
      <c r="AY166" s="243"/>
      <c r="AZ166" s="243"/>
      <c r="BA166" s="243"/>
      <c r="BB166" s="288"/>
      <c r="BC166" s="243"/>
      <c r="BD166" s="243"/>
      <c r="BE166" s="243"/>
      <c r="BF166" s="243"/>
      <c r="BG166" s="243"/>
      <c r="BH166" s="243"/>
      <c r="BI166" s="243"/>
      <c r="BJ166" s="243"/>
      <c r="BK166" s="288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8"/>
      <c r="K167" s="243"/>
      <c r="L167" s="243"/>
      <c r="M167" s="243"/>
      <c r="N167" s="243"/>
      <c r="O167" s="243"/>
      <c r="P167" s="243"/>
      <c r="Q167" s="284"/>
      <c r="R167" s="304"/>
      <c r="S167" s="277"/>
      <c r="T167" s="305"/>
      <c r="U167" s="306"/>
      <c r="V167" s="305"/>
      <c r="W167" s="271"/>
      <c r="X167" s="305"/>
      <c r="Y167" s="188"/>
      <c r="Z167" s="287"/>
      <c r="AA167" s="188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88"/>
      <c r="AL167" s="243"/>
      <c r="AM167" s="243"/>
      <c r="AN167" s="243"/>
      <c r="AO167" s="243"/>
      <c r="AP167" s="243"/>
      <c r="AQ167" s="243"/>
      <c r="AR167" s="243"/>
      <c r="AS167" s="288"/>
      <c r="AT167" s="243"/>
      <c r="AU167" s="243"/>
      <c r="AV167" s="243"/>
      <c r="AW167" s="243"/>
      <c r="AX167" s="243"/>
      <c r="AY167" s="243"/>
      <c r="AZ167" s="243"/>
      <c r="BA167" s="243"/>
      <c r="BB167" s="288"/>
      <c r="BC167" s="243"/>
      <c r="BD167" s="243"/>
      <c r="BE167" s="243"/>
      <c r="BF167" s="243"/>
      <c r="BG167" s="243"/>
      <c r="BH167" s="243"/>
      <c r="BI167" s="243"/>
      <c r="BJ167" s="243"/>
      <c r="BK167" s="288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8"/>
      <c r="K168" s="243"/>
      <c r="L168" s="243"/>
      <c r="M168" s="243"/>
      <c r="N168" s="243"/>
      <c r="O168" s="243"/>
      <c r="P168" s="243"/>
      <c r="Q168" s="284"/>
      <c r="R168" s="307"/>
      <c r="S168" s="277"/>
      <c r="T168" s="188"/>
      <c r="U168" s="188"/>
      <c r="V168" s="188"/>
      <c r="W168" s="303"/>
      <c r="X168" s="188"/>
      <c r="Y168" s="188"/>
      <c r="Z168" s="287"/>
      <c r="AA168" s="188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88"/>
      <c r="AL168" s="243"/>
      <c r="AM168" s="243"/>
      <c r="AN168" s="243"/>
      <c r="AO168" s="243"/>
      <c r="AP168" s="243"/>
      <c r="AQ168" s="243"/>
      <c r="AR168" s="243"/>
      <c r="AS168" s="288"/>
      <c r="AT168" s="243"/>
      <c r="AU168" s="243"/>
      <c r="AV168" s="243"/>
      <c r="AW168" s="243"/>
      <c r="AX168" s="243"/>
      <c r="AY168" s="243"/>
      <c r="AZ168" s="243"/>
      <c r="BA168" s="243"/>
      <c r="BB168" s="288"/>
      <c r="BC168" s="243"/>
      <c r="BD168" s="243"/>
      <c r="BE168" s="243"/>
      <c r="BF168" s="243"/>
      <c r="BG168" s="243"/>
      <c r="BH168" s="243"/>
      <c r="BI168" s="243"/>
      <c r="BJ168" s="243"/>
      <c r="BK168" s="288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8"/>
      <c r="K169" s="243"/>
      <c r="L169" s="243"/>
      <c r="M169" s="243"/>
      <c r="N169" s="243"/>
      <c r="O169" s="243"/>
      <c r="P169" s="243"/>
      <c r="Q169" s="284"/>
      <c r="R169" s="304"/>
      <c r="S169" s="277"/>
      <c r="T169" s="305"/>
      <c r="U169" s="306"/>
      <c r="V169" s="305"/>
      <c r="W169" s="271"/>
      <c r="X169" s="305"/>
      <c r="Y169" s="188"/>
      <c r="Z169" s="287"/>
      <c r="AA169" s="188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88"/>
      <c r="AL169" s="243"/>
      <c r="AM169" s="243"/>
      <c r="AN169" s="243"/>
      <c r="AO169" s="243"/>
      <c r="AP169" s="243"/>
      <c r="AQ169" s="243"/>
      <c r="AR169" s="243"/>
      <c r="AS169" s="288"/>
      <c r="AT169" s="243"/>
      <c r="AU169" s="243"/>
      <c r="AV169" s="243"/>
      <c r="AW169" s="243"/>
      <c r="AX169" s="243"/>
      <c r="AY169" s="243"/>
      <c r="AZ169" s="243"/>
      <c r="BA169" s="243"/>
      <c r="BB169" s="288"/>
      <c r="BC169" s="243"/>
      <c r="BD169" s="243"/>
      <c r="BE169" s="243"/>
      <c r="BF169" s="243"/>
      <c r="BG169" s="243"/>
      <c r="BH169" s="243"/>
      <c r="BI169" s="243"/>
      <c r="BJ169" s="243"/>
      <c r="BK169" s="288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8"/>
      <c r="K170" s="243"/>
      <c r="L170" s="243"/>
      <c r="M170" s="243"/>
      <c r="N170" s="243"/>
      <c r="O170" s="243"/>
      <c r="P170" s="243"/>
      <c r="Q170" s="188"/>
      <c r="R170" s="287"/>
      <c r="S170" s="188"/>
      <c r="T170" s="188"/>
      <c r="U170" s="188"/>
      <c r="V170" s="188"/>
      <c r="W170" s="303"/>
      <c r="X170" s="188"/>
      <c r="Y170" s="188"/>
      <c r="Z170" s="287"/>
      <c r="AA170" s="188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88"/>
      <c r="AL170" s="243"/>
      <c r="AM170" s="243"/>
      <c r="AN170" s="243"/>
      <c r="AO170" s="243"/>
      <c r="AP170" s="243"/>
      <c r="AQ170" s="243"/>
      <c r="AR170" s="243"/>
      <c r="AS170" s="288"/>
      <c r="AT170" s="243"/>
      <c r="AU170" s="243"/>
      <c r="AV170" s="243"/>
      <c r="AW170" s="243"/>
      <c r="AX170" s="243"/>
      <c r="AY170" s="243"/>
      <c r="AZ170" s="243"/>
      <c r="BA170" s="243"/>
      <c r="BB170" s="288"/>
      <c r="BC170" s="310"/>
      <c r="BD170" s="310"/>
      <c r="BE170" s="310"/>
      <c r="BF170" s="310"/>
      <c r="BG170" s="310"/>
      <c r="BH170" s="310"/>
      <c r="BI170" s="310"/>
      <c r="BJ170" s="243"/>
      <c r="BK170" s="288"/>
      <c r="BL170" s="243"/>
      <c r="BM170" s="243"/>
      <c r="BN170" s="243"/>
      <c r="BO170" s="243"/>
      <c r="BP170" s="243"/>
      <c r="BQ170" s="243"/>
    </row>
    <row r="171" spans="2:69" s="33" customFormat="1" ht="22.5" customHeight="1">
      <c r="B171" s="40"/>
      <c r="H171" s="40"/>
      <c r="J171" s="288"/>
      <c r="K171" s="243"/>
      <c r="L171" s="243"/>
      <c r="M171" s="243"/>
      <c r="N171" s="243"/>
      <c r="O171" s="243"/>
      <c r="P171" s="243"/>
      <c r="Q171" s="243"/>
      <c r="R171" s="288"/>
      <c r="S171" s="243"/>
      <c r="T171" s="243"/>
      <c r="U171" s="243"/>
      <c r="V171" s="243"/>
      <c r="W171" s="289"/>
      <c r="X171" s="243"/>
      <c r="Y171" s="243"/>
      <c r="Z171" s="288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88"/>
      <c r="AL171" s="243"/>
      <c r="AM171" s="243"/>
      <c r="AN171" s="243"/>
      <c r="AO171" s="243"/>
      <c r="AP171" s="243"/>
      <c r="AQ171" s="243"/>
      <c r="AR171" s="243"/>
      <c r="AS171" s="288"/>
      <c r="AT171" s="243"/>
      <c r="AU171" s="243"/>
      <c r="AV171" s="243"/>
      <c r="AW171" s="243"/>
      <c r="AX171" s="243"/>
      <c r="AY171" s="243"/>
      <c r="AZ171" s="243"/>
      <c r="BA171" s="243"/>
      <c r="BB171" s="288"/>
      <c r="BC171" s="310"/>
      <c r="BD171" s="310"/>
      <c r="BE171" s="310"/>
      <c r="BF171" s="310"/>
      <c r="BG171" s="310"/>
      <c r="BH171" s="310"/>
      <c r="BI171" s="310"/>
      <c r="BJ171" s="243"/>
      <c r="BK171" s="288"/>
      <c r="BL171" s="243"/>
      <c r="BM171" s="243"/>
      <c r="BN171" s="243"/>
      <c r="BO171" s="243"/>
      <c r="BP171" s="243"/>
      <c r="BQ171" s="243"/>
    </row>
    <row r="172" spans="2:69" s="33" customFormat="1" ht="22.5" customHeight="1">
      <c r="B172" s="40"/>
      <c r="H172" s="40"/>
      <c r="J172" s="288"/>
      <c r="K172" s="243"/>
      <c r="L172" s="243"/>
      <c r="M172" s="243"/>
      <c r="N172" s="243"/>
      <c r="O172" s="243"/>
      <c r="P172" s="243"/>
      <c r="Q172" s="243"/>
      <c r="R172" s="288"/>
      <c r="S172" s="243"/>
      <c r="T172" s="243"/>
      <c r="U172" s="243"/>
      <c r="V172" s="243"/>
      <c r="W172" s="289"/>
      <c r="X172" s="243"/>
      <c r="Y172" s="243"/>
      <c r="Z172" s="288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88"/>
      <c r="AL172" s="243"/>
      <c r="AM172" s="243"/>
      <c r="AN172" s="243"/>
      <c r="AO172" s="243"/>
      <c r="AP172" s="243"/>
      <c r="AQ172" s="243"/>
      <c r="AR172" s="243"/>
      <c r="AS172" s="288"/>
      <c r="AT172" s="243"/>
      <c r="AU172" s="243"/>
      <c r="AV172" s="243"/>
      <c r="AW172" s="243"/>
      <c r="AX172" s="243"/>
      <c r="AY172" s="243"/>
      <c r="AZ172" s="243"/>
      <c r="BA172" s="243"/>
      <c r="BB172" s="288"/>
      <c r="BC172" s="310"/>
      <c r="BD172" s="310"/>
      <c r="BE172" s="310"/>
      <c r="BF172" s="310"/>
      <c r="BG172" s="310"/>
      <c r="BH172" s="310"/>
      <c r="BI172" s="310"/>
      <c r="BJ172" s="243"/>
      <c r="BK172" s="288"/>
      <c r="BL172" s="243"/>
      <c r="BM172" s="243"/>
      <c r="BN172" s="243"/>
      <c r="BO172" s="243"/>
      <c r="BP172" s="243"/>
      <c r="BQ172" s="243"/>
    </row>
    <row r="173" spans="2:69" s="33" customFormat="1" ht="22.5" customHeight="1">
      <c r="B173" s="40"/>
      <c r="H173" s="40"/>
      <c r="J173" s="288"/>
      <c r="K173" s="243"/>
      <c r="L173" s="243"/>
      <c r="M173" s="243"/>
      <c r="N173" s="243"/>
      <c r="O173" s="243"/>
      <c r="P173" s="243"/>
      <c r="Q173" s="243"/>
      <c r="R173" s="288"/>
      <c r="S173" s="243"/>
      <c r="T173" s="243"/>
      <c r="U173" s="243"/>
      <c r="V173" s="243"/>
      <c r="W173" s="289"/>
      <c r="X173" s="243"/>
      <c r="Y173" s="243"/>
      <c r="Z173" s="288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88"/>
      <c r="AL173" s="243"/>
      <c r="AM173" s="243"/>
      <c r="AN173" s="243"/>
      <c r="AO173" s="243"/>
      <c r="AP173" s="243"/>
      <c r="AQ173" s="243"/>
      <c r="AR173" s="243"/>
      <c r="AS173" s="288"/>
      <c r="AT173" s="243"/>
      <c r="AU173" s="243"/>
      <c r="AV173" s="243"/>
      <c r="AW173" s="243"/>
      <c r="AX173" s="243"/>
      <c r="AY173" s="243"/>
      <c r="AZ173" s="243"/>
      <c r="BA173" s="243"/>
      <c r="BB173" s="288"/>
      <c r="BC173" s="289"/>
      <c r="BD173" s="289"/>
      <c r="BE173" s="289"/>
      <c r="BF173" s="289"/>
      <c r="BG173" s="289"/>
      <c r="BH173" s="289"/>
      <c r="BI173" s="289"/>
      <c r="BJ173" s="243"/>
      <c r="BK173" s="288"/>
      <c r="BL173" s="243"/>
      <c r="BM173" s="243"/>
      <c r="BN173" s="243"/>
      <c r="BO173" s="243"/>
      <c r="BP173" s="243"/>
      <c r="BQ173" s="243"/>
    </row>
    <row r="174" spans="2:69" s="33" customFormat="1" ht="22.5" customHeight="1">
      <c r="B174" s="40"/>
      <c r="H174" s="40"/>
      <c r="J174" s="288"/>
      <c r="K174" s="243"/>
      <c r="L174" s="243"/>
      <c r="M174" s="243"/>
      <c r="N174" s="243"/>
      <c r="O174" s="243"/>
      <c r="P174" s="243"/>
      <c r="Q174" s="243"/>
      <c r="R174" s="288"/>
      <c r="S174" s="243"/>
      <c r="T174" s="243"/>
      <c r="U174" s="243"/>
      <c r="V174" s="243"/>
      <c r="W174" s="289"/>
      <c r="X174" s="243"/>
      <c r="Y174" s="243"/>
      <c r="Z174" s="288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88"/>
      <c r="AL174" s="243"/>
      <c r="AM174" s="243"/>
      <c r="AN174" s="243"/>
      <c r="AO174" s="243"/>
      <c r="AP174" s="243"/>
      <c r="AQ174" s="243"/>
      <c r="AR174" s="243"/>
      <c r="AS174" s="288"/>
      <c r="AT174" s="243"/>
      <c r="AU174" s="243"/>
      <c r="AV174" s="243"/>
      <c r="AW174" s="243"/>
      <c r="AX174" s="243"/>
      <c r="AY174" s="243"/>
      <c r="AZ174" s="243"/>
      <c r="BA174" s="243"/>
      <c r="BB174" s="288"/>
      <c r="BC174" s="289"/>
      <c r="BD174" s="289"/>
      <c r="BE174" s="289"/>
      <c r="BF174" s="289"/>
      <c r="BG174" s="289"/>
      <c r="BH174" s="289"/>
      <c r="BI174" s="289"/>
      <c r="BJ174" s="243"/>
      <c r="BK174" s="288"/>
      <c r="BL174" s="243"/>
      <c r="BM174" s="243"/>
      <c r="BN174" s="243"/>
      <c r="BO174" s="243"/>
      <c r="BP174" s="243"/>
      <c r="BQ174" s="243"/>
    </row>
    <row r="175" spans="2:69" s="33" customFormat="1" ht="22.5" customHeight="1">
      <c r="B175" s="40"/>
      <c r="H175" s="40"/>
      <c r="J175" s="288"/>
      <c r="K175" s="243"/>
      <c r="L175" s="243"/>
      <c r="M175" s="243"/>
      <c r="N175" s="243"/>
      <c r="O175" s="243"/>
      <c r="P175" s="243"/>
      <c r="Q175" s="243"/>
      <c r="R175" s="288"/>
      <c r="S175" s="243"/>
      <c r="T175" s="243"/>
      <c r="U175" s="243"/>
      <c r="V175" s="243"/>
      <c r="W175" s="289"/>
      <c r="X175" s="243"/>
      <c r="Y175" s="243"/>
      <c r="Z175" s="288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88"/>
      <c r="AL175" s="243"/>
      <c r="AM175" s="243"/>
      <c r="AN175" s="243"/>
      <c r="AO175" s="243"/>
      <c r="AP175" s="243"/>
      <c r="AQ175" s="243"/>
      <c r="AR175" s="243"/>
      <c r="AS175" s="288"/>
      <c r="AT175" s="243"/>
      <c r="AU175" s="243"/>
      <c r="AV175" s="243"/>
      <c r="AW175" s="243"/>
      <c r="AX175" s="243"/>
      <c r="AY175" s="243"/>
      <c r="AZ175" s="243"/>
      <c r="BA175" s="310"/>
      <c r="BB175" s="288"/>
      <c r="BC175" s="289"/>
      <c r="BD175" s="289"/>
      <c r="BE175" s="289"/>
      <c r="BF175" s="289"/>
      <c r="BG175" s="289"/>
      <c r="BH175" s="289"/>
      <c r="BI175" s="289"/>
      <c r="BJ175" s="310"/>
      <c r="BK175" s="311"/>
      <c r="BL175" s="243"/>
      <c r="BM175" s="243"/>
      <c r="BN175" s="243"/>
      <c r="BO175" s="243"/>
      <c r="BP175" s="243"/>
      <c r="BQ175" s="243"/>
    </row>
    <row r="176" spans="2:69" s="33" customFormat="1" ht="22.5" customHeight="1">
      <c r="B176" s="40"/>
      <c r="H176" s="40"/>
      <c r="J176" s="288"/>
      <c r="K176" s="243"/>
      <c r="L176" s="243"/>
      <c r="M176" s="243"/>
      <c r="N176" s="243"/>
      <c r="O176" s="243"/>
      <c r="P176" s="243"/>
      <c r="Q176" s="188"/>
      <c r="R176" s="288"/>
      <c r="S176" s="277"/>
      <c r="T176" s="308"/>
      <c r="U176" s="309"/>
      <c r="V176" s="308"/>
      <c r="W176" s="271"/>
      <c r="X176" s="305"/>
      <c r="Y176" s="243"/>
      <c r="Z176" s="288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88"/>
      <c r="AL176" s="243"/>
      <c r="AM176" s="243"/>
      <c r="AN176" s="243"/>
      <c r="AO176" s="243"/>
      <c r="AP176" s="243"/>
      <c r="AQ176" s="243"/>
      <c r="AR176" s="243"/>
      <c r="AS176" s="288"/>
      <c r="AT176" s="243"/>
      <c r="AU176" s="243"/>
      <c r="AV176" s="243"/>
      <c r="AW176" s="243"/>
      <c r="AX176" s="243"/>
      <c r="AY176" s="243"/>
      <c r="AZ176" s="243"/>
      <c r="BA176" s="310"/>
      <c r="BB176" s="311"/>
      <c r="BC176" s="289"/>
      <c r="BD176" s="289"/>
      <c r="BE176" s="289"/>
      <c r="BF176" s="289"/>
      <c r="BG176" s="289"/>
      <c r="BH176" s="289"/>
      <c r="BI176" s="289"/>
      <c r="BJ176" s="310"/>
      <c r="BK176" s="311"/>
      <c r="BL176" s="243"/>
      <c r="BM176" s="243"/>
      <c r="BN176" s="243"/>
      <c r="BO176" s="243"/>
      <c r="BP176" s="243"/>
      <c r="BQ176" s="243"/>
    </row>
    <row r="177" spans="1:69" s="13" customFormat="1" ht="22.5" customHeight="1">
      <c r="B177" s="40"/>
      <c r="H177" s="40"/>
      <c r="J177" s="311"/>
      <c r="K177" s="310"/>
      <c r="L177" s="310"/>
      <c r="M177" s="310"/>
      <c r="N177" s="310"/>
      <c r="O177" s="310"/>
      <c r="P177" s="310"/>
      <c r="Q177" s="310"/>
      <c r="R177" s="288"/>
      <c r="S177" s="310"/>
      <c r="T177" s="310"/>
      <c r="U177" s="310"/>
      <c r="V177" s="310"/>
      <c r="W177" s="289"/>
      <c r="X177" s="310"/>
      <c r="Y177" s="310"/>
      <c r="Z177" s="311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1"/>
      <c r="AL177" s="310"/>
      <c r="AM177" s="310"/>
      <c r="AN177" s="310"/>
      <c r="AO177" s="310"/>
      <c r="AP177" s="310"/>
      <c r="AQ177" s="310"/>
      <c r="AR177" s="310"/>
      <c r="AS177" s="311"/>
      <c r="AT177" s="310"/>
      <c r="AU177" s="310"/>
      <c r="AV177" s="310"/>
      <c r="AW177" s="310"/>
      <c r="AX177" s="310"/>
      <c r="AY177" s="310"/>
      <c r="AZ177" s="310"/>
      <c r="BA177" s="310"/>
      <c r="BB177" s="311"/>
      <c r="BC177" s="289"/>
      <c r="BD177" s="289"/>
      <c r="BE177" s="289"/>
      <c r="BF177" s="289"/>
      <c r="BG177" s="289"/>
      <c r="BH177" s="289"/>
      <c r="BI177" s="289"/>
      <c r="BJ177" s="310"/>
      <c r="BK177" s="311"/>
      <c r="BL177" s="243"/>
      <c r="BM177" s="243"/>
      <c r="BN177" s="243"/>
      <c r="BO177" s="243"/>
      <c r="BP177" s="243"/>
      <c r="BQ177" s="243"/>
    </row>
    <row r="178" spans="1:69" s="13" customFormat="1" ht="22.5" customHeight="1">
      <c r="B178" s="40"/>
      <c r="H178" s="40"/>
      <c r="J178" s="311"/>
      <c r="K178" s="310"/>
      <c r="L178" s="310"/>
      <c r="M178" s="310"/>
      <c r="N178" s="310"/>
      <c r="O178" s="310"/>
      <c r="P178" s="310"/>
      <c r="Q178" s="310"/>
      <c r="R178" s="288"/>
      <c r="S178" s="310"/>
      <c r="T178" s="310"/>
      <c r="U178" s="310"/>
      <c r="V178" s="310"/>
      <c r="W178" s="289"/>
      <c r="X178" s="310"/>
      <c r="Y178" s="310"/>
      <c r="Z178" s="311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1"/>
      <c r="AL178" s="310"/>
      <c r="AM178" s="310"/>
      <c r="AN178" s="310"/>
      <c r="AO178" s="310"/>
      <c r="AP178" s="310"/>
      <c r="AQ178" s="310"/>
      <c r="AR178" s="310"/>
      <c r="AS178" s="311"/>
      <c r="AT178" s="310"/>
      <c r="AU178" s="310"/>
      <c r="AV178" s="310"/>
      <c r="AW178" s="310"/>
      <c r="AX178" s="310"/>
      <c r="AY178" s="310"/>
      <c r="AZ178" s="310"/>
      <c r="BA178" s="289"/>
      <c r="BB178" s="311"/>
      <c r="BC178" s="289"/>
      <c r="BD178" s="289"/>
      <c r="BE178" s="289"/>
      <c r="BF178" s="289"/>
      <c r="BG178" s="289"/>
      <c r="BH178" s="289"/>
      <c r="BI178" s="289"/>
      <c r="BJ178" s="289"/>
      <c r="BK178" s="294"/>
      <c r="BL178" s="243"/>
      <c r="BM178" s="243"/>
      <c r="BN178" s="243"/>
      <c r="BO178" s="243"/>
      <c r="BP178" s="243"/>
      <c r="BQ178" s="243"/>
    </row>
    <row r="179" spans="1:69" s="13" customFormat="1" ht="22.5" customHeight="1">
      <c r="B179" s="40"/>
      <c r="H179" s="40"/>
      <c r="J179" s="311"/>
      <c r="K179" s="310"/>
      <c r="L179" s="310"/>
      <c r="M179" s="310"/>
      <c r="N179" s="310"/>
      <c r="O179" s="310"/>
      <c r="P179" s="310"/>
      <c r="Q179" s="310"/>
      <c r="R179" s="288"/>
      <c r="S179" s="310"/>
      <c r="T179" s="310"/>
      <c r="U179" s="310"/>
      <c r="V179" s="310"/>
      <c r="W179" s="289"/>
      <c r="X179" s="310"/>
      <c r="Y179" s="310"/>
      <c r="Z179" s="311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1"/>
      <c r="AL179" s="310"/>
      <c r="AM179" s="310"/>
      <c r="AN179" s="310"/>
      <c r="AO179" s="310"/>
      <c r="AP179" s="310"/>
      <c r="AQ179" s="310"/>
      <c r="AR179" s="310"/>
      <c r="AS179" s="311"/>
      <c r="AT179" s="310"/>
      <c r="AU179" s="310"/>
      <c r="AV179" s="310"/>
      <c r="AW179" s="310"/>
      <c r="AX179" s="310"/>
      <c r="AY179" s="310"/>
      <c r="AZ179" s="310"/>
      <c r="BA179" s="289"/>
      <c r="BB179" s="294"/>
      <c r="BC179" s="289"/>
      <c r="BD179" s="289"/>
      <c r="BE179" s="289"/>
      <c r="BF179" s="289"/>
      <c r="BG179" s="289"/>
      <c r="BH179" s="289"/>
      <c r="BI179" s="289"/>
      <c r="BJ179" s="289"/>
      <c r="BK179" s="294"/>
      <c r="BL179" s="243"/>
      <c r="BM179" s="243"/>
      <c r="BN179" s="243"/>
      <c r="BO179" s="243"/>
      <c r="BP179" s="243"/>
      <c r="BQ179" s="243"/>
    </row>
    <row r="180" spans="1:69" s="40" customFormat="1" ht="22.5" customHeight="1">
      <c r="J180" s="294"/>
      <c r="K180" s="289"/>
      <c r="L180" s="289"/>
      <c r="M180" s="289"/>
      <c r="N180" s="289"/>
      <c r="O180" s="289"/>
      <c r="P180" s="289"/>
      <c r="Q180" s="289"/>
      <c r="R180" s="288"/>
      <c r="S180" s="289"/>
      <c r="T180" s="289"/>
      <c r="U180" s="289"/>
      <c r="V180" s="289"/>
      <c r="W180" s="289"/>
      <c r="X180" s="289"/>
      <c r="Y180" s="289"/>
      <c r="Z180" s="294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94"/>
      <c r="AL180" s="289"/>
      <c r="AM180" s="289"/>
      <c r="AN180" s="289"/>
      <c r="AO180" s="289"/>
      <c r="AP180" s="289"/>
      <c r="AQ180" s="289"/>
      <c r="AR180" s="289"/>
      <c r="AS180" s="294"/>
      <c r="AT180" s="289"/>
      <c r="AU180" s="289"/>
      <c r="AV180" s="289"/>
      <c r="AW180" s="289"/>
      <c r="AX180" s="289"/>
      <c r="AY180" s="289"/>
      <c r="AZ180" s="289"/>
      <c r="BA180" s="289"/>
      <c r="BB180" s="294"/>
      <c r="BC180" s="289"/>
      <c r="BD180" s="289"/>
      <c r="BE180" s="289"/>
      <c r="BF180" s="289"/>
      <c r="BG180" s="289"/>
      <c r="BH180" s="289"/>
      <c r="BI180" s="289"/>
      <c r="BJ180" s="289"/>
      <c r="BK180" s="294"/>
      <c r="BL180" s="243"/>
      <c r="BM180" s="243"/>
      <c r="BN180" s="243"/>
      <c r="BO180" s="243"/>
      <c r="BP180" s="243"/>
      <c r="BQ180" s="243"/>
    </row>
    <row r="181" spans="1:69" s="40" customFormat="1" ht="22.5" customHeight="1">
      <c r="J181" s="294"/>
      <c r="K181" s="289"/>
      <c r="L181" s="289"/>
      <c r="M181" s="289"/>
      <c r="N181" s="289"/>
      <c r="O181" s="289"/>
      <c r="P181" s="289"/>
      <c r="Q181" s="289"/>
      <c r="R181" s="288"/>
      <c r="S181" s="289"/>
      <c r="T181" s="289"/>
      <c r="U181" s="289"/>
      <c r="V181" s="289"/>
      <c r="W181" s="289"/>
      <c r="X181" s="289"/>
      <c r="Y181" s="289"/>
      <c r="Z181" s="294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94"/>
      <c r="AL181" s="289"/>
      <c r="AM181" s="289"/>
      <c r="AN181" s="289"/>
      <c r="AO181" s="289"/>
      <c r="AP181" s="289"/>
      <c r="AQ181" s="289"/>
      <c r="AR181" s="289"/>
      <c r="AS181" s="294"/>
      <c r="AT181" s="289"/>
      <c r="AU181" s="289"/>
      <c r="AV181" s="289"/>
      <c r="AW181" s="289"/>
      <c r="AX181" s="289"/>
      <c r="AY181" s="289"/>
      <c r="AZ181" s="289"/>
      <c r="BA181" s="289"/>
      <c r="BB181" s="294"/>
      <c r="BC181" s="289"/>
      <c r="BD181" s="289"/>
      <c r="BE181" s="289"/>
      <c r="BF181" s="289"/>
      <c r="BG181" s="289"/>
      <c r="BH181" s="289"/>
      <c r="BI181" s="289"/>
      <c r="BJ181" s="289"/>
      <c r="BK181" s="294"/>
      <c r="BL181" s="310"/>
      <c r="BM181" s="310"/>
      <c r="BN181" s="310"/>
      <c r="BO181" s="310"/>
      <c r="BP181" s="310"/>
      <c r="BQ181" s="310"/>
    </row>
    <row r="182" spans="1:69" s="40" customFormat="1" ht="22.5" customHeight="1">
      <c r="J182" s="294"/>
      <c r="K182" s="289"/>
      <c r="L182" s="289"/>
      <c r="M182" s="289"/>
      <c r="N182" s="289"/>
      <c r="O182" s="289"/>
      <c r="P182" s="289"/>
      <c r="Q182" s="289"/>
      <c r="R182" s="288"/>
      <c r="S182" s="289"/>
      <c r="T182" s="289"/>
      <c r="U182" s="289"/>
      <c r="V182" s="289"/>
      <c r="W182" s="289"/>
      <c r="X182" s="289"/>
      <c r="Y182" s="289"/>
      <c r="Z182" s="294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94"/>
      <c r="AL182" s="289"/>
      <c r="AM182" s="289"/>
      <c r="AN182" s="289"/>
      <c r="AO182" s="289"/>
      <c r="AP182" s="289"/>
      <c r="AQ182" s="289"/>
      <c r="AR182" s="289"/>
      <c r="AS182" s="294"/>
      <c r="AT182" s="289"/>
      <c r="AU182" s="289"/>
      <c r="AV182" s="289"/>
      <c r="AW182" s="289"/>
      <c r="AX182" s="289"/>
      <c r="AY182" s="289"/>
      <c r="AZ182" s="289"/>
      <c r="BA182" s="289"/>
      <c r="BB182" s="294"/>
      <c r="BC182" s="289"/>
      <c r="BD182" s="289"/>
      <c r="BE182" s="289"/>
      <c r="BF182" s="289"/>
      <c r="BG182" s="289"/>
      <c r="BH182" s="289"/>
      <c r="BI182" s="289"/>
      <c r="BJ182" s="289"/>
      <c r="BK182" s="294"/>
      <c r="BL182" s="310"/>
      <c r="BM182" s="310"/>
      <c r="BN182" s="310"/>
      <c r="BO182" s="310"/>
      <c r="BP182" s="310"/>
      <c r="BQ182" s="310"/>
    </row>
    <row r="183" spans="1:69" s="40" customFormat="1" ht="22.5" customHeight="1">
      <c r="J183" s="294"/>
      <c r="K183" s="289"/>
      <c r="L183" s="289"/>
      <c r="M183" s="289"/>
      <c r="N183" s="289"/>
      <c r="O183" s="289"/>
      <c r="P183" s="289"/>
      <c r="Q183" s="289"/>
      <c r="R183" s="288"/>
      <c r="S183" s="289"/>
      <c r="T183" s="289"/>
      <c r="U183" s="289"/>
      <c r="V183" s="289"/>
      <c r="W183" s="289"/>
      <c r="X183" s="289"/>
      <c r="Y183" s="289"/>
      <c r="Z183" s="294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94"/>
      <c r="AL183" s="289"/>
      <c r="AM183" s="289"/>
      <c r="AN183" s="289"/>
      <c r="AO183" s="289"/>
      <c r="AP183" s="289"/>
      <c r="AQ183" s="289"/>
      <c r="AR183" s="289"/>
      <c r="AS183" s="294"/>
      <c r="AT183" s="289"/>
      <c r="AU183" s="289"/>
      <c r="AV183" s="289"/>
      <c r="AW183" s="289"/>
      <c r="AX183" s="289"/>
      <c r="AY183" s="289"/>
      <c r="AZ183" s="289"/>
      <c r="BA183" s="289"/>
      <c r="BB183" s="294"/>
      <c r="BC183" s="289"/>
      <c r="BD183" s="289"/>
      <c r="BE183" s="289"/>
      <c r="BF183" s="289"/>
      <c r="BG183" s="289"/>
      <c r="BH183" s="289"/>
      <c r="BI183" s="289"/>
      <c r="BJ183" s="289"/>
      <c r="BK183" s="294"/>
      <c r="BL183" s="310"/>
      <c r="BM183" s="310"/>
      <c r="BN183" s="310"/>
      <c r="BO183" s="310"/>
      <c r="BP183" s="310"/>
      <c r="BQ183" s="310"/>
    </row>
    <row r="184" spans="1:69" s="40" customFormat="1" ht="22.5" customHeight="1">
      <c r="J184" s="294"/>
      <c r="K184" s="289"/>
      <c r="L184" s="289"/>
      <c r="M184" s="289"/>
      <c r="N184" s="289"/>
      <c r="O184" s="289"/>
      <c r="P184" s="289"/>
      <c r="Q184" s="289"/>
      <c r="R184" s="288"/>
      <c r="S184" s="289"/>
      <c r="T184" s="289"/>
      <c r="U184" s="289"/>
      <c r="V184" s="289"/>
      <c r="W184" s="289"/>
      <c r="X184" s="289"/>
      <c r="Y184" s="289"/>
      <c r="Z184" s="294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94"/>
      <c r="AL184" s="289"/>
      <c r="AM184" s="289"/>
      <c r="AN184" s="289"/>
      <c r="AO184" s="289"/>
      <c r="AP184" s="289"/>
      <c r="AQ184" s="289"/>
      <c r="AR184" s="289"/>
      <c r="AS184" s="294"/>
      <c r="AT184" s="289"/>
      <c r="AU184" s="289"/>
      <c r="AV184" s="289"/>
      <c r="AW184" s="289"/>
      <c r="AX184" s="289"/>
      <c r="AY184" s="289"/>
      <c r="AZ184" s="289"/>
      <c r="BA184" s="289"/>
      <c r="BB184" s="294"/>
      <c r="BC184" s="289"/>
      <c r="BD184" s="289"/>
      <c r="BE184" s="289"/>
      <c r="BF184" s="289"/>
      <c r="BG184" s="289"/>
      <c r="BH184" s="289"/>
      <c r="BI184" s="289"/>
      <c r="BJ184" s="289"/>
      <c r="BK184" s="294"/>
      <c r="BL184" s="289"/>
      <c r="BM184" s="289"/>
      <c r="BN184" s="289"/>
      <c r="BO184" s="289"/>
      <c r="BP184" s="289"/>
      <c r="BQ184" s="289"/>
    </row>
    <row r="185" spans="1:69" s="40" customFormat="1" ht="22.5" customHeight="1">
      <c r="J185" s="294"/>
      <c r="K185" s="289"/>
      <c r="L185" s="289"/>
      <c r="M185" s="289"/>
      <c r="N185" s="289"/>
      <c r="O185" s="289"/>
      <c r="P185" s="289"/>
      <c r="Q185" s="289"/>
      <c r="R185" s="288"/>
      <c r="S185" s="289"/>
      <c r="T185" s="289"/>
      <c r="U185" s="289"/>
      <c r="V185" s="289"/>
      <c r="W185" s="289"/>
      <c r="X185" s="289"/>
      <c r="Y185" s="289"/>
      <c r="Z185" s="294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94"/>
      <c r="AL185" s="289"/>
      <c r="AM185" s="289"/>
      <c r="AN185" s="289"/>
      <c r="AO185" s="289"/>
      <c r="AP185" s="289"/>
      <c r="AQ185" s="289"/>
      <c r="AR185" s="289"/>
      <c r="AS185" s="294"/>
      <c r="AT185" s="289"/>
      <c r="AU185" s="289"/>
      <c r="AV185" s="289"/>
      <c r="AW185" s="289"/>
      <c r="AX185" s="289"/>
      <c r="AY185" s="289"/>
      <c r="AZ185" s="289"/>
      <c r="BA185" s="289"/>
      <c r="BB185" s="294"/>
      <c r="BC185" s="289"/>
      <c r="BD185" s="289"/>
      <c r="BE185" s="289"/>
      <c r="BF185" s="289"/>
      <c r="BG185" s="289"/>
      <c r="BH185" s="289"/>
      <c r="BI185" s="289"/>
      <c r="BJ185" s="289"/>
      <c r="BK185" s="294"/>
      <c r="BL185" s="289"/>
      <c r="BM185" s="289"/>
      <c r="BN185" s="289"/>
      <c r="BO185" s="289"/>
      <c r="BP185" s="289"/>
      <c r="BQ185" s="289"/>
    </row>
    <row r="186" spans="1:69" s="40" customFormat="1" ht="22.5" customHeight="1">
      <c r="J186" s="294"/>
      <c r="K186" s="289"/>
      <c r="L186" s="289"/>
      <c r="M186" s="289"/>
      <c r="N186" s="289"/>
      <c r="O186" s="289"/>
      <c r="P186" s="289"/>
      <c r="Q186" s="289"/>
      <c r="R186" s="288"/>
      <c r="S186" s="289"/>
      <c r="T186" s="289"/>
      <c r="U186" s="289"/>
      <c r="V186" s="289"/>
      <c r="W186" s="289"/>
      <c r="X186" s="289"/>
      <c r="Y186" s="289"/>
      <c r="Z186" s="294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94"/>
      <c r="AL186" s="289"/>
      <c r="AM186" s="289"/>
      <c r="AN186" s="289"/>
      <c r="AO186" s="289"/>
      <c r="AP186" s="289"/>
      <c r="AQ186" s="289"/>
      <c r="AR186" s="289"/>
      <c r="AS186" s="294"/>
      <c r="AT186" s="289"/>
      <c r="AU186" s="289"/>
      <c r="AV186" s="289"/>
      <c r="AW186" s="289"/>
      <c r="AX186" s="289"/>
      <c r="AY186" s="289"/>
      <c r="AZ186" s="289"/>
      <c r="BA186" s="289"/>
      <c r="BB186" s="294"/>
      <c r="BC186" s="177"/>
      <c r="BD186" s="177"/>
      <c r="BE186" s="177"/>
      <c r="BF186" s="177"/>
      <c r="BG186" s="177"/>
      <c r="BH186" s="177"/>
      <c r="BI186" s="177"/>
      <c r="BJ186" s="289"/>
      <c r="BK186" s="294"/>
      <c r="BL186" s="289"/>
      <c r="BM186" s="289"/>
      <c r="BN186" s="289"/>
      <c r="BO186" s="289"/>
      <c r="BP186" s="289"/>
      <c r="BQ186" s="289"/>
    </row>
    <row r="187" spans="1:69" s="40" customFormat="1" ht="22.5" customHeight="1">
      <c r="J187" s="294"/>
      <c r="K187" s="289"/>
      <c r="L187" s="289"/>
      <c r="M187" s="289"/>
      <c r="N187" s="289"/>
      <c r="O187" s="289"/>
      <c r="P187" s="289"/>
      <c r="Q187" s="289"/>
      <c r="R187" s="288"/>
      <c r="S187" s="289"/>
      <c r="T187" s="289"/>
      <c r="U187" s="289"/>
      <c r="V187" s="289"/>
      <c r="W187" s="289"/>
      <c r="X187" s="289"/>
      <c r="Y187" s="289"/>
      <c r="Z187" s="294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94"/>
      <c r="AL187" s="289"/>
      <c r="AM187" s="289"/>
      <c r="AN187" s="289"/>
      <c r="AO187" s="289"/>
      <c r="AP187" s="289"/>
      <c r="AQ187" s="289"/>
      <c r="AR187" s="289"/>
      <c r="AS187" s="294"/>
      <c r="AT187" s="289"/>
      <c r="AU187" s="289"/>
      <c r="AV187" s="289"/>
      <c r="AW187" s="289"/>
      <c r="AX187" s="289"/>
      <c r="AY187" s="289"/>
      <c r="AZ187" s="289"/>
      <c r="BA187" s="289"/>
      <c r="BB187" s="294"/>
      <c r="BC187" s="177"/>
      <c r="BD187" s="177"/>
      <c r="BE187" s="177"/>
      <c r="BF187" s="177"/>
      <c r="BG187" s="177"/>
      <c r="BH187" s="177"/>
      <c r="BI187" s="177"/>
      <c r="BJ187" s="289"/>
      <c r="BK187" s="294"/>
      <c r="BL187" s="289"/>
      <c r="BM187" s="289"/>
      <c r="BN187" s="289"/>
      <c r="BO187" s="289"/>
      <c r="BP187" s="289"/>
      <c r="BQ187" s="289"/>
    </row>
    <row r="188" spans="1:69" s="40" customFormat="1" ht="22.5" customHeight="1">
      <c r="A188" s="113"/>
      <c r="J188" s="294"/>
      <c r="K188" s="289"/>
      <c r="L188" s="289"/>
      <c r="M188" s="289"/>
      <c r="N188" s="289"/>
      <c r="O188" s="289"/>
      <c r="P188" s="289"/>
      <c r="Q188" s="303"/>
      <c r="R188" s="288"/>
      <c r="S188" s="312"/>
      <c r="T188" s="313"/>
      <c r="U188" s="314"/>
      <c r="V188" s="313"/>
      <c r="W188" s="271"/>
      <c r="X188" s="271"/>
      <c r="Y188" s="289"/>
      <c r="Z188" s="294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94"/>
      <c r="AL188" s="289"/>
      <c r="AM188" s="289"/>
      <c r="AN188" s="289"/>
      <c r="AO188" s="289"/>
      <c r="AP188" s="289"/>
      <c r="AQ188" s="289"/>
      <c r="AR188" s="289"/>
      <c r="AS188" s="294"/>
      <c r="AT188" s="289"/>
      <c r="AU188" s="289"/>
      <c r="AV188" s="289"/>
      <c r="AW188" s="289"/>
      <c r="AX188" s="289"/>
      <c r="AY188" s="289"/>
      <c r="AZ188" s="289"/>
      <c r="BA188" s="289"/>
      <c r="BB188" s="294"/>
      <c r="BC188" s="177"/>
      <c r="BD188" s="177"/>
      <c r="BE188" s="177"/>
      <c r="BF188" s="177"/>
      <c r="BG188" s="177"/>
      <c r="BH188" s="177"/>
      <c r="BI188" s="177"/>
      <c r="BJ188" s="289"/>
      <c r="BK188" s="294"/>
      <c r="BL188" s="289"/>
      <c r="BM188" s="289"/>
      <c r="BN188" s="289"/>
      <c r="BO188" s="289"/>
      <c r="BP188" s="289"/>
      <c r="BQ188" s="289"/>
    </row>
    <row r="189" spans="1:69" s="40" customFormat="1" ht="22.5" customHeight="1">
      <c r="A189" s="113"/>
      <c r="J189" s="294"/>
      <c r="K189" s="289"/>
      <c r="L189" s="289"/>
      <c r="M189" s="289"/>
      <c r="N189" s="289"/>
      <c r="O189" s="289"/>
      <c r="P189" s="289"/>
      <c r="Q189" s="303"/>
      <c r="R189" s="288"/>
      <c r="S189" s="312"/>
      <c r="T189" s="313"/>
      <c r="U189" s="314"/>
      <c r="V189" s="313"/>
      <c r="W189" s="271"/>
      <c r="X189" s="271"/>
      <c r="Y189" s="289"/>
      <c r="Z189" s="294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94"/>
      <c r="AL189" s="289"/>
      <c r="AM189" s="289"/>
      <c r="AN189" s="289"/>
      <c r="AO189" s="289"/>
      <c r="AP189" s="289"/>
      <c r="AQ189" s="289"/>
      <c r="AR189" s="289"/>
      <c r="AS189" s="294"/>
      <c r="AT189" s="289"/>
      <c r="AU189" s="289"/>
      <c r="AV189" s="289"/>
      <c r="AW189" s="289"/>
      <c r="AX189" s="289"/>
      <c r="AY189" s="289"/>
      <c r="AZ189" s="289"/>
      <c r="BA189" s="289"/>
      <c r="BB189" s="294"/>
      <c r="BC189" s="177"/>
      <c r="BD189" s="177"/>
      <c r="BE189" s="177"/>
      <c r="BF189" s="177"/>
      <c r="BG189" s="177"/>
      <c r="BH189" s="177"/>
      <c r="BI189" s="177"/>
      <c r="BJ189" s="289"/>
      <c r="BK189" s="294"/>
      <c r="BL189" s="289"/>
      <c r="BM189" s="289"/>
      <c r="BN189" s="289"/>
      <c r="BO189" s="289"/>
      <c r="BP189" s="289"/>
      <c r="BQ189" s="289"/>
    </row>
    <row r="190" spans="1:69" s="40" customFormat="1" ht="22.5" customHeight="1">
      <c r="A190" s="113"/>
      <c r="B190" s="113"/>
      <c r="C190" s="1437"/>
      <c r="D190" s="112"/>
      <c r="E190" s="115"/>
      <c r="F190" s="112"/>
      <c r="G190" s="112"/>
      <c r="H190" s="112"/>
      <c r="I190" s="112"/>
      <c r="J190" s="294"/>
      <c r="K190" s="289"/>
      <c r="L190" s="289"/>
      <c r="M190" s="289"/>
      <c r="N190" s="289"/>
      <c r="O190" s="289"/>
      <c r="P190" s="289"/>
      <c r="Q190" s="303"/>
      <c r="R190" s="288"/>
      <c r="S190" s="312"/>
      <c r="T190" s="313"/>
      <c r="U190" s="314"/>
      <c r="V190" s="313"/>
      <c r="W190" s="271"/>
      <c r="X190" s="271"/>
      <c r="Y190" s="289"/>
      <c r="Z190" s="294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94"/>
      <c r="AL190" s="289"/>
      <c r="AM190" s="289"/>
      <c r="AN190" s="289"/>
      <c r="AO190" s="289"/>
      <c r="AP190" s="289"/>
      <c r="AQ190" s="289"/>
      <c r="AR190" s="289"/>
      <c r="AS190" s="294"/>
      <c r="AT190" s="289"/>
      <c r="AU190" s="289"/>
      <c r="AV190" s="289"/>
      <c r="AW190" s="289"/>
      <c r="AX190" s="289"/>
      <c r="AY190" s="289"/>
      <c r="AZ190" s="289"/>
      <c r="BA190" s="289"/>
      <c r="BB190" s="294"/>
      <c r="BC190" s="177"/>
      <c r="BD190" s="177"/>
      <c r="BE190" s="177"/>
      <c r="BF190" s="177"/>
      <c r="BG190" s="177"/>
      <c r="BH190" s="177"/>
      <c r="BI190" s="177"/>
      <c r="BJ190" s="289"/>
      <c r="BK190" s="294"/>
      <c r="BL190" s="289"/>
      <c r="BM190" s="289"/>
      <c r="BN190" s="289"/>
      <c r="BO190" s="289"/>
      <c r="BP190" s="289"/>
      <c r="BQ190" s="289"/>
    </row>
    <row r="191" spans="1:69" s="40" customFormat="1" ht="22.5" customHeight="1">
      <c r="A191" s="113"/>
      <c r="B191" s="113"/>
      <c r="C191" s="1437"/>
      <c r="D191" s="112"/>
      <c r="E191" s="115"/>
      <c r="F191" s="112"/>
      <c r="G191" s="112"/>
      <c r="H191" s="112"/>
      <c r="I191" s="112"/>
      <c r="J191" s="294"/>
      <c r="K191" s="289"/>
      <c r="L191" s="289"/>
      <c r="M191" s="289"/>
      <c r="N191" s="289"/>
      <c r="O191" s="289"/>
      <c r="P191" s="289"/>
      <c r="Q191" s="303"/>
      <c r="R191" s="288"/>
      <c r="S191" s="312"/>
      <c r="T191" s="313"/>
      <c r="U191" s="314"/>
      <c r="V191" s="313"/>
      <c r="W191" s="271"/>
      <c r="X191" s="271"/>
      <c r="Y191" s="289"/>
      <c r="Z191" s="294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94"/>
      <c r="AL191" s="289"/>
      <c r="AM191" s="289"/>
      <c r="AN191" s="289"/>
      <c r="AO191" s="289"/>
      <c r="AP191" s="289"/>
      <c r="AQ191" s="289"/>
      <c r="AR191" s="289"/>
      <c r="AS191" s="294"/>
      <c r="AT191" s="289"/>
      <c r="AU191" s="289"/>
      <c r="AV191" s="289"/>
      <c r="AW191" s="289"/>
      <c r="AX191" s="289"/>
      <c r="AY191" s="289"/>
      <c r="AZ191" s="289"/>
      <c r="BA191" s="177"/>
      <c r="BB191" s="294"/>
      <c r="BC191" s="177"/>
      <c r="BD191" s="177"/>
      <c r="BE191" s="177"/>
      <c r="BF191" s="177"/>
      <c r="BG191" s="177"/>
      <c r="BH191" s="177"/>
      <c r="BI191" s="177"/>
      <c r="BJ191" s="177"/>
      <c r="BK191" s="290"/>
      <c r="BL191" s="289"/>
      <c r="BM191" s="289"/>
      <c r="BN191" s="289"/>
      <c r="BO191" s="289"/>
      <c r="BP191" s="289"/>
      <c r="BQ191" s="289"/>
    </row>
    <row r="192" spans="1:69" s="40" customFormat="1" ht="22.5" customHeight="1">
      <c r="A192" s="113"/>
      <c r="B192" s="113"/>
      <c r="C192" s="1437"/>
      <c r="D192" s="112"/>
      <c r="E192" s="115"/>
      <c r="F192" s="112"/>
      <c r="G192" s="112"/>
      <c r="H192" s="112"/>
      <c r="I192" s="112"/>
      <c r="J192" s="294"/>
      <c r="K192" s="289"/>
      <c r="L192" s="289"/>
      <c r="M192" s="289"/>
      <c r="N192" s="289"/>
      <c r="O192" s="289"/>
      <c r="P192" s="289"/>
      <c r="Q192" s="303"/>
      <c r="R192" s="288"/>
      <c r="S192" s="312"/>
      <c r="T192" s="313"/>
      <c r="U192" s="314"/>
      <c r="V192" s="313"/>
      <c r="W192" s="271"/>
      <c r="X192" s="271"/>
      <c r="Y192" s="289"/>
      <c r="Z192" s="294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94"/>
      <c r="AL192" s="289"/>
      <c r="AM192" s="289"/>
      <c r="AN192" s="289"/>
      <c r="AO192" s="289"/>
      <c r="AP192" s="289"/>
      <c r="AQ192" s="289"/>
      <c r="AR192" s="289"/>
      <c r="AS192" s="294"/>
      <c r="AT192" s="289"/>
      <c r="AU192" s="289"/>
      <c r="AV192" s="289"/>
      <c r="AW192" s="289"/>
      <c r="AX192" s="289"/>
      <c r="AY192" s="289"/>
      <c r="AZ192" s="289"/>
      <c r="BA192" s="177"/>
      <c r="BB192" s="290"/>
      <c r="BC192" s="177"/>
      <c r="BD192" s="177"/>
      <c r="BE192" s="177"/>
      <c r="BF192" s="177"/>
      <c r="BG192" s="177"/>
      <c r="BH192" s="177"/>
      <c r="BI192" s="177"/>
      <c r="BJ192" s="177"/>
      <c r="BK192" s="290"/>
      <c r="BL192" s="289"/>
      <c r="BM192" s="289"/>
      <c r="BN192" s="289"/>
      <c r="BO192" s="289"/>
      <c r="BP192" s="289"/>
      <c r="BQ192" s="289"/>
    </row>
    <row r="193" spans="64:69" ht="22.5" customHeight="1">
      <c r="BL193" s="289"/>
      <c r="BM193" s="289"/>
      <c r="BN193" s="289"/>
      <c r="BO193" s="289"/>
      <c r="BP193" s="289"/>
      <c r="BQ193" s="289"/>
    </row>
    <row r="194" spans="64:69" ht="22.5" customHeight="1">
      <c r="BL194" s="289"/>
      <c r="BM194" s="289"/>
      <c r="BN194" s="289"/>
      <c r="BO194" s="289"/>
      <c r="BP194" s="289"/>
      <c r="BQ194" s="289"/>
    </row>
    <row r="195" spans="64:69" ht="22.5" customHeight="1">
      <c r="BL195" s="289"/>
      <c r="BM195" s="289"/>
      <c r="BN195" s="289"/>
      <c r="BO195" s="289"/>
      <c r="BP195" s="289"/>
      <c r="BQ195" s="289"/>
    </row>
    <row r="196" spans="64:69" ht="22.5" customHeight="1">
      <c r="BL196" s="289"/>
      <c r="BM196" s="289"/>
      <c r="BN196" s="289"/>
      <c r="BO196" s="289"/>
      <c r="BP196" s="289"/>
      <c r="BQ196" s="289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AN3:AN4"/>
    <mergeCell ref="AO3:AO4"/>
    <mergeCell ref="AP3:AP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AW3:AW4"/>
    <mergeCell ref="AV3:AV4"/>
    <mergeCell ref="AS3:AS4"/>
    <mergeCell ref="AT3:AT4"/>
    <mergeCell ref="AU3:AU4"/>
    <mergeCell ref="AX3:AX4"/>
    <mergeCell ref="AY3:AY4"/>
    <mergeCell ref="AZ3:AZ4"/>
    <mergeCell ref="BA3:BA4"/>
    <mergeCell ref="BC10:BG10"/>
  </mergeCells>
  <pageMargins left="0.62992125984252001" right="0.511811023622047" top="0.39370078740157499" bottom="0.511811023622047" header="0.25" footer="0"/>
  <pageSetup paperSize="145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L34" activePane="bottomRight" state="frozen"/>
      <selection activeCell="F85" sqref="F85"/>
      <selection pane="topRight" activeCell="F85" sqref="F85"/>
      <selection pane="bottomLeft" activeCell="F85" sqref="F85"/>
      <selection pane="bottomRight" activeCell="H49" sqref="H49"/>
    </sheetView>
  </sheetViews>
  <sheetFormatPr defaultColWidth="9.140625" defaultRowHeight="12.75"/>
  <cols>
    <col min="1" max="1" width="2.28515625" style="463" customWidth="1"/>
    <col min="2" max="2" width="3" style="8" customWidth="1"/>
    <col min="3" max="3" width="2.85546875" style="110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6" customFormat="1" ht="14.25" customHeight="1">
      <c r="A1" s="2206" t="s">
        <v>1745</v>
      </c>
      <c r="B1" s="2206"/>
      <c r="C1" s="2206"/>
      <c r="D1" s="2206"/>
      <c r="E1" s="2206"/>
      <c r="F1" s="2206"/>
      <c r="G1" s="2206"/>
      <c r="H1" s="2206"/>
      <c r="I1" s="2206"/>
      <c r="J1" s="2205" t="s">
        <v>1744</v>
      </c>
      <c r="K1" s="2205"/>
      <c r="L1" s="2205"/>
      <c r="M1" s="2205"/>
      <c r="N1" s="2205"/>
      <c r="O1" s="2205"/>
      <c r="P1" s="2205"/>
      <c r="Q1" s="2205"/>
      <c r="R1" s="2205"/>
      <c r="S1" s="1401"/>
      <c r="T1" s="2207" t="s">
        <v>1748</v>
      </c>
      <c r="U1" s="2207"/>
      <c r="V1" s="2207"/>
    </row>
    <row r="2" spans="1:23" s="84" customFormat="1" ht="48" customHeight="1">
      <c r="A2" s="2209" t="s">
        <v>25</v>
      </c>
      <c r="B2" s="2210"/>
      <c r="C2" s="2210"/>
      <c r="D2" s="2211"/>
      <c r="E2" s="1101" t="s">
        <v>967</v>
      </c>
      <c r="F2" s="1101" t="s">
        <v>968</v>
      </c>
      <c r="G2" s="1101" t="s">
        <v>969</v>
      </c>
      <c r="H2" s="1101" t="s">
        <v>2090</v>
      </c>
      <c r="I2" s="1101" t="s">
        <v>2089</v>
      </c>
      <c r="J2" s="1101" t="s">
        <v>970</v>
      </c>
      <c r="K2" s="1101" t="s">
        <v>971</v>
      </c>
      <c r="L2" s="1101" t="s">
        <v>960</v>
      </c>
      <c r="M2" s="1101" t="s">
        <v>972</v>
      </c>
      <c r="N2" s="1101" t="s">
        <v>973</v>
      </c>
      <c r="O2" s="1399" t="s">
        <v>974</v>
      </c>
      <c r="P2" s="1101" t="s">
        <v>975</v>
      </c>
      <c r="Q2" s="946" t="s">
        <v>1258</v>
      </c>
      <c r="R2" s="1101" t="s">
        <v>1742</v>
      </c>
      <c r="S2" s="1399" t="s">
        <v>1743</v>
      </c>
      <c r="T2" s="1101" t="s">
        <v>1765</v>
      </c>
      <c r="U2" s="1399" t="s">
        <v>2413</v>
      </c>
      <c r="V2" s="1400" t="s">
        <v>2414</v>
      </c>
    </row>
    <row r="3" spans="1:23" s="84" customFormat="1" ht="10.5" customHeight="1">
      <c r="A3" s="2212"/>
      <c r="B3" s="2213"/>
      <c r="C3" s="2213"/>
      <c r="D3" s="2214"/>
      <c r="E3" s="1101">
        <v>1</v>
      </c>
      <c r="F3" s="1101">
        <v>2</v>
      </c>
      <c r="G3" s="1101">
        <v>3</v>
      </c>
      <c r="H3" s="1101">
        <v>4</v>
      </c>
      <c r="I3" s="1101">
        <v>5</v>
      </c>
      <c r="J3" s="1101">
        <v>6</v>
      </c>
      <c r="K3" s="1101">
        <v>7</v>
      </c>
      <c r="L3" s="1101">
        <v>8</v>
      </c>
      <c r="M3" s="1101">
        <v>9</v>
      </c>
      <c r="N3" s="1101">
        <v>10</v>
      </c>
      <c r="O3" s="1101">
        <v>11</v>
      </c>
      <c r="P3" s="1101">
        <v>12</v>
      </c>
      <c r="Q3" s="1101">
        <v>13</v>
      </c>
      <c r="R3" s="1101">
        <v>14</v>
      </c>
      <c r="S3" s="1399">
        <v>15</v>
      </c>
      <c r="T3" s="1101">
        <v>16</v>
      </c>
      <c r="U3" s="1101">
        <v>17</v>
      </c>
      <c r="V3" s="1101">
        <v>18</v>
      </c>
      <c r="W3" s="73"/>
    </row>
    <row r="4" spans="1:23" s="53" customFormat="1" ht="13.5" customHeight="1">
      <c r="A4" s="456" t="s">
        <v>82</v>
      </c>
      <c r="B4" s="2202" t="s">
        <v>83</v>
      </c>
      <c r="C4" s="2202"/>
      <c r="D4" s="2202"/>
      <c r="E4" s="527">
        <v>7</v>
      </c>
      <c r="F4" s="527">
        <v>6</v>
      </c>
      <c r="G4" s="527">
        <v>6</v>
      </c>
      <c r="H4" s="527">
        <v>6</v>
      </c>
      <c r="I4" s="527">
        <v>5</v>
      </c>
      <c r="J4" s="527">
        <v>5</v>
      </c>
      <c r="K4" s="527">
        <v>5</v>
      </c>
      <c r="L4" s="527">
        <v>5</v>
      </c>
      <c r="M4" s="527">
        <v>5</v>
      </c>
      <c r="N4" s="527">
        <v>5</v>
      </c>
      <c r="O4" s="527">
        <v>5</v>
      </c>
      <c r="P4" s="527">
        <v>5</v>
      </c>
      <c r="Q4" s="527">
        <v>5</v>
      </c>
      <c r="R4" s="527">
        <v>5</v>
      </c>
      <c r="S4" s="527">
        <v>5</v>
      </c>
      <c r="T4" s="527">
        <v>5</v>
      </c>
      <c r="U4" s="527">
        <v>4</v>
      </c>
      <c r="V4" s="527">
        <v>4</v>
      </c>
    </row>
    <row r="5" spans="1:23" s="425" customFormat="1" ht="13.5" customHeight="1">
      <c r="A5" s="457" t="s">
        <v>553</v>
      </c>
      <c r="B5" s="2235" t="s">
        <v>961</v>
      </c>
      <c r="C5" s="2235"/>
      <c r="D5" s="2235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23" s="425" customFormat="1" ht="12">
      <c r="A6" s="2202" t="s">
        <v>1031</v>
      </c>
      <c r="B6" s="2202"/>
      <c r="C6" s="2202"/>
      <c r="D6" s="2202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3" s="425" customFormat="1" ht="12" customHeight="1">
      <c r="A7" s="459"/>
      <c r="B7" s="2236" t="s">
        <v>947</v>
      </c>
      <c r="C7" s="2236"/>
      <c r="D7" s="2236"/>
      <c r="E7" s="275">
        <v>8.5</v>
      </c>
      <c r="F7" s="275">
        <v>8.5</v>
      </c>
      <c r="G7" s="275">
        <v>8.5</v>
      </c>
      <c r="H7" s="275">
        <v>8.5</v>
      </c>
      <c r="I7" s="275">
        <v>8.5</v>
      </c>
      <c r="J7" s="275">
        <v>7.5</v>
      </c>
      <c r="K7" s="275">
        <v>7.5</v>
      </c>
      <c r="L7" s="275">
        <v>7.5</v>
      </c>
      <c r="M7" s="275">
        <v>7.5</v>
      </c>
      <c r="N7" s="275">
        <v>7.5</v>
      </c>
      <c r="O7" s="275">
        <v>7.5</v>
      </c>
      <c r="P7" s="275">
        <v>7.5</v>
      </c>
      <c r="Q7" s="275">
        <v>7.5</v>
      </c>
      <c r="R7" s="275">
        <v>7.5</v>
      </c>
      <c r="S7" s="275">
        <v>5</v>
      </c>
      <c r="T7" s="275">
        <v>7.5</v>
      </c>
      <c r="U7" s="275">
        <v>7.5</v>
      </c>
      <c r="V7" s="275">
        <v>7.5</v>
      </c>
    </row>
    <row r="8" spans="1:23" s="426" customFormat="1" ht="13.5" customHeight="1">
      <c r="A8" s="467"/>
      <c r="B8" s="2217" t="s">
        <v>957</v>
      </c>
      <c r="C8" s="2217"/>
      <c r="D8" s="2217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3" s="425" customFormat="1" ht="12.75" customHeight="1">
      <c r="A9" s="459"/>
      <c r="B9" s="428"/>
      <c r="C9" s="2216" t="s">
        <v>956</v>
      </c>
      <c r="D9" s="2216"/>
      <c r="E9" s="275">
        <v>10.5</v>
      </c>
      <c r="F9" s="275">
        <v>10.5</v>
      </c>
      <c r="G9" s="275">
        <v>10.5</v>
      </c>
      <c r="H9" s="275">
        <v>10.5</v>
      </c>
      <c r="I9" s="275">
        <v>10.5</v>
      </c>
      <c r="J9" s="275">
        <v>9.5</v>
      </c>
      <c r="K9" s="275">
        <v>9.5</v>
      </c>
      <c r="L9" s="275">
        <v>9.5</v>
      </c>
      <c r="M9" s="275">
        <v>9.5</v>
      </c>
      <c r="N9" s="275">
        <v>9.5</v>
      </c>
      <c r="O9" s="275">
        <v>9.5</v>
      </c>
      <c r="P9" s="275">
        <v>10.4</v>
      </c>
      <c r="Q9" s="275">
        <v>10.4</v>
      </c>
      <c r="R9" s="275">
        <v>10.4</v>
      </c>
      <c r="S9" s="275">
        <v>5</v>
      </c>
      <c r="T9" s="275">
        <v>10.199999999999999</v>
      </c>
      <c r="U9" s="275">
        <v>10.199999999999999</v>
      </c>
      <c r="V9" s="275">
        <v>10.199999999999999</v>
      </c>
    </row>
    <row r="10" spans="1:23" s="425" customFormat="1" ht="12.75" customHeight="1">
      <c r="A10" s="458"/>
      <c r="B10" s="433"/>
      <c r="C10" s="2232" t="s">
        <v>955</v>
      </c>
      <c r="D10" s="2232"/>
      <c r="E10" s="349">
        <v>11.5</v>
      </c>
      <c r="F10" s="349">
        <v>11.5</v>
      </c>
      <c r="G10" s="349">
        <v>11.5</v>
      </c>
      <c r="H10" s="349">
        <v>11.5</v>
      </c>
      <c r="I10" s="349">
        <v>11.5</v>
      </c>
      <c r="J10" s="349">
        <v>10.5</v>
      </c>
      <c r="K10" s="349">
        <v>10.5</v>
      </c>
      <c r="L10" s="349">
        <v>10.5</v>
      </c>
      <c r="M10" s="349">
        <v>10.5</v>
      </c>
      <c r="N10" s="349">
        <v>10.5</v>
      </c>
      <c r="O10" s="349">
        <v>10.5</v>
      </c>
      <c r="P10" s="349">
        <v>11.4</v>
      </c>
      <c r="Q10" s="349">
        <v>11.4</v>
      </c>
      <c r="R10" s="349">
        <v>11.4</v>
      </c>
      <c r="S10" s="349">
        <v>5.5</v>
      </c>
      <c r="T10" s="349">
        <v>10.7</v>
      </c>
      <c r="U10" s="349">
        <v>10.7</v>
      </c>
      <c r="V10" s="349">
        <v>10.7</v>
      </c>
    </row>
    <row r="11" spans="1:23" s="425" customFormat="1" ht="12.75" customHeight="1">
      <c r="A11" s="459"/>
      <c r="B11" s="428"/>
      <c r="C11" s="2216" t="s">
        <v>954</v>
      </c>
      <c r="D11" s="2216"/>
      <c r="E11" s="275">
        <v>12.5</v>
      </c>
      <c r="F11" s="275">
        <v>12.5</v>
      </c>
      <c r="G11" s="275">
        <v>12.5</v>
      </c>
      <c r="H11" s="275">
        <v>12.5</v>
      </c>
      <c r="I11" s="275">
        <v>12.5</v>
      </c>
      <c r="J11" s="275">
        <v>11.5</v>
      </c>
      <c r="K11" s="275">
        <v>11.5</v>
      </c>
      <c r="L11" s="275">
        <v>11.5</v>
      </c>
      <c r="M11" s="275">
        <v>11.5</v>
      </c>
      <c r="N11" s="275">
        <v>11.5</v>
      </c>
      <c r="O11" s="275">
        <v>11.5</v>
      </c>
      <c r="P11" s="275" t="s">
        <v>2415</v>
      </c>
      <c r="Q11" s="275" t="s">
        <v>2415</v>
      </c>
      <c r="R11" s="275" t="s">
        <v>2425</v>
      </c>
      <c r="S11" s="275" t="s">
        <v>2426</v>
      </c>
      <c r="T11" s="275" t="s">
        <v>2425</v>
      </c>
      <c r="U11" s="275" t="s">
        <v>2425</v>
      </c>
      <c r="V11" s="275" t="s">
        <v>2425</v>
      </c>
    </row>
    <row r="12" spans="1:23" s="426" customFormat="1" ht="12.75" customHeight="1">
      <c r="A12" s="467"/>
      <c r="B12" s="2217" t="s">
        <v>950</v>
      </c>
      <c r="C12" s="2217"/>
      <c r="D12" s="2217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3" s="425" customFormat="1" ht="12.75" customHeight="1">
      <c r="A13" s="459"/>
      <c r="B13" s="428"/>
      <c r="C13" s="2236" t="s">
        <v>956</v>
      </c>
      <c r="D13" s="2236"/>
      <c r="E13" s="275">
        <v>9.5</v>
      </c>
      <c r="F13" s="275">
        <v>9.5</v>
      </c>
      <c r="G13" s="275">
        <v>9.5</v>
      </c>
      <c r="H13" s="275">
        <v>9.5</v>
      </c>
      <c r="I13" s="275">
        <v>9.5</v>
      </c>
      <c r="J13" s="275">
        <v>8.5</v>
      </c>
      <c r="K13" s="275">
        <v>8.5</v>
      </c>
      <c r="L13" s="275">
        <v>8.5</v>
      </c>
      <c r="M13" s="275">
        <v>8.5</v>
      </c>
      <c r="N13" s="275">
        <v>8.5</v>
      </c>
      <c r="O13" s="275">
        <v>8.5</v>
      </c>
      <c r="P13" s="275">
        <v>10</v>
      </c>
      <c r="Q13" s="275">
        <v>10</v>
      </c>
      <c r="R13" s="275">
        <v>10</v>
      </c>
      <c r="S13" s="275">
        <v>4</v>
      </c>
      <c r="T13" s="275">
        <v>9</v>
      </c>
      <c r="U13" s="275">
        <v>9</v>
      </c>
      <c r="V13" s="275">
        <v>9</v>
      </c>
    </row>
    <row r="14" spans="1:23" s="425" customFormat="1" ht="12.75" customHeight="1">
      <c r="A14" s="458"/>
      <c r="B14" s="433"/>
      <c r="C14" s="2237" t="s">
        <v>955</v>
      </c>
      <c r="D14" s="2237"/>
      <c r="E14" s="349">
        <v>10</v>
      </c>
      <c r="F14" s="349">
        <v>10</v>
      </c>
      <c r="G14" s="349">
        <v>10</v>
      </c>
      <c r="H14" s="349">
        <v>10</v>
      </c>
      <c r="I14" s="349">
        <v>10</v>
      </c>
      <c r="J14" s="349">
        <v>9</v>
      </c>
      <c r="K14" s="349">
        <v>9</v>
      </c>
      <c r="L14" s="349">
        <v>9</v>
      </c>
      <c r="M14" s="349">
        <v>9</v>
      </c>
      <c r="N14" s="349">
        <v>9</v>
      </c>
      <c r="O14" s="349">
        <v>9</v>
      </c>
      <c r="P14" s="349">
        <v>10.5</v>
      </c>
      <c r="Q14" s="349">
        <v>10.5</v>
      </c>
      <c r="R14" s="349">
        <v>10.5</v>
      </c>
      <c r="S14" s="349">
        <v>4.5</v>
      </c>
      <c r="T14" s="349">
        <v>9.5</v>
      </c>
      <c r="U14" s="349">
        <v>9.5</v>
      </c>
      <c r="V14" s="349">
        <v>9.5</v>
      </c>
    </row>
    <row r="15" spans="1:23" s="425" customFormat="1" ht="12.75" customHeight="1">
      <c r="A15" s="459"/>
      <c r="B15" s="428"/>
      <c r="C15" s="2236" t="s">
        <v>954</v>
      </c>
      <c r="D15" s="2236"/>
      <c r="E15" s="275">
        <v>10.5</v>
      </c>
      <c r="F15" s="275">
        <v>10.5</v>
      </c>
      <c r="G15" s="275">
        <v>10.5</v>
      </c>
      <c r="H15" s="275">
        <v>10.5</v>
      </c>
      <c r="I15" s="275">
        <v>10.5</v>
      </c>
      <c r="J15" s="275">
        <v>9.5</v>
      </c>
      <c r="K15" s="275">
        <v>9.5</v>
      </c>
      <c r="L15" s="275">
        <v>9.5</v>
      </c>
      <c r="M15" s="275">
        <v>9.5</v>
      </c>
      <c r="N15" s="275">
        <v>9.5</v>
      </c>
      <c r="O15" s="275">
        <v>9.5</v>
      </c>
      <c r="P15" s="275">
        <v>11</v>
      </c>
      <c r="Q15" s="275">
        <v>11</v>
      </c>
      <c r="R15" s="275">
        <v>11</v>
      </c>
      <c r="S15" s="275">
        <v>5</v>
      </c>
      <c r="T15" s="275">
        <v>10</v>
      </c>
      <c r="U15" s="275">
        <v>10</v>
      </c>
      <c r="V15" s="275">
        <v>10</v>
      </c>
    </row>
    <row r="16" spans="1:23" s="425" customFormat="1" ht="13.5" customHeight="1">
      <c r="A16" s="2218" t="s">
        <v>1032</v>
      </c>
      <c r="B16" s="2218"/>
      <c r="C16" s="2218"/>
      <c r="D16" s="2218"/>
      <c r="E16" s="318"/>
      <c r="F16" s="318"/>
      <c r="G16" s="318"/>
      <c r="H16" s="318"/>
      <c r="I16" s="318"/>
      <c r="J16" s="318"/>
      <c r="K16" s="318"/>
      <c r="L16" s="318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s="425" customFormat="1" ht="12" customHeight="1">
      <c r="A17" s="461"/>
      <c r="B17" s="2234" t="s">
        <v>962</v>
      </c>
      <c r="C17" s="2234"/>
      <c r="D17" s="2234"/>
      <c r="E17" s="530">
        <v>13.5</v>
      </c>
      <c r="F17" s="253">
        <v>13.5</v>
      </c>
      <c r="G17" s="253">
        <v>12</v>
      </c>
      <c r="H17" s="253">
        <v>12</v>
      </c>
      <c r="I17" s="253">
        <v>12</v>
      </c>
      <c r="J17" s="253">
        <v>12</v>
      </c>
      <c r="K17" s="253">
        <v>11.5</v>
      </c>
      <c r="L17" s="253">
        <v>11.5</v>
      </c>
      <c r="M17" s="253">
        <v>10</v>
      </c>
      <c r="N17" s="281">
        <v>10</v>
      </c>
      <c r="O17" s="281">
        <v>10</v>
      </c>
      <c r="P17" s="281" t="s">
        <v>2416</v>
      </c>
      <c r="Q17" s="281" t="s">
        <v>2416</v>
      </c>
      <c r="R17" s="281" t="s">
        <v>2427</v>
      </c>
      <c r="S17" s="281" t="s">
        <v>2427</v>
      </c>
      <c r="T17" s="281" t="s">
        <v>2427</v>
      </c>
      <c r="U17" s="281" t="s">
        <v>2427</v>
      </c>
      <c r="V17" s="281" t="s">
        <v>2427</v>
      </c>
    </row>
    <row r="18" spans="1:22" s="425" customFormat="1" ht="12" customHeight="1">
      <c r="A18" s="460"/>
      <c r="B18" s="2233" t="s">
        <v>963</v>
      </c>
      <c r="C18" s="2233"/>
      <c r="D18" s="2233"/>
      <c r="E18" s="318">
        <v>14.5</v>
      </c>
      <c r="F18" s="318">
        <v>14.5</v>
      </c>
      <c r="G18" s="318">
        <v>12.5</v>
      </c>
      <c r="H18" s="318">
        <v>12.5</v>
      </c>
      <c r="I18" s="318">
        <v>12.5</v>
      </c>
      <c r="J18" s="318">
        <v>12.5</v>
      </c>
      <c r="K18" s="318">
        <v>12</v>
      </c>
      <c r="L18" s="318">
        <v>12</v>
      </c>
      <c r="M18" s="318">
        <v>10.5</v>
      </c>
      <c r="N18" s="323">
        <v>10.5</v>
      </c>
      <c r="O18" s="323">
        <v>10.5</v>
      </c>
      <c r="P18" s="323" t="s">
        <v>2417</v>
      </c>
      <c r="Q18" s="318" t="s">
        <v>2417</v>
      </c>
      <c r="R18" s="318" t="s">
        <v>2428</v>
      </c>
      <c r="S18" s="318" t="s">
        <v>2428</v>
      </c>
      <c r="T18" s="318" t="s">
        <v>2428</v>
      </c>
      <c r="U18" s="318" t="s">
        <v>2428</v>
      </c>
      <c r="V18" s="318" t="s">
        <v>2428</v>
      </c>
    </row>
    <row r="19" spans="1:22" s="425" customFormat="1" ht="12" customHeight="1">
      <c r="A19" s="461"/>
      <c r="B19" s="2215" t="s">
        <v>964</v>
      </c>
      <c r="C19" s="2215"/>
      <c r="D19" s="2215"/>
      <c r="E19" s="530" t="s">
        <v>633</v>
      </c>
      <c r="F19" s="530" t="s">
        <v>633</v>
      </c>
      <c r="G19" s="530" t="s">
        <v>633</v>
      </c>
      <c r="H19" s="530" t="s">
        <v>633</v>
      </c>
      <c r="I19" s="530" t="s">
        <v>633</v>
      </c>
      <c r="J19" s="530" t="s">
        <v>633</v>
      </c>
      <c r="K19" s="530">
        <v>12.5</v>
      </c>
      <c r="L19" s="401">
        <v>12.5</v>
      </c>
      <c r="M19" s="253">
        <v>12.5</v>
      </c>
      <c r="N19" s="253">
        <v>11</v>
      </c>
      <c r="O19" s="281">
        <v>11</v>
      </c>
      <c r="P19" s="281" t="s">
        <v>2417</v>
      </c>
      <c r="Q19" s="281" t="s">
        <v>2417</v>
      </c>
      <c r="R19" s="281" t="s">
        <v>2429</v>
      </c>
      <c r="S19" s="281" t="s">
        <v>2429</v>
      </c>
      <c r="T19" s="281" t="s">
        <v>2429</v>
      </c>
      <c r="U19" s="281" t="s">
        <v>2429</v>
      </c>
      <c r="V19" s="281" t="s">
        <v>2429</v>
      </c>
    </row>
    <row r="20" spans="1:22" s="425" customFormat="1" ht="12.75" customHeight="1">
      <c r="A20" s="460"/>
      <c r="B20" s="2220" t="s">
        <v>965</v>
      </c>
      <c r="C20" s="2220"/>
      <c r="D20" s="2220"/>
      <c r="E20" s="531" t="s">
        <v>633</v>
      </c>
      <c r="F20" s="531" t="s">
        <v>633</v>
      </c>
      <c r="G20" s="531" t="s">
        <v>633</v>
      </c>
      <c r="H20" s="531" t="s">
        <v>633</v>
      </c>
      <c r="I20" s="531" t="s">
        <v>633</v>
      </c>
      <c r="J20" s="531" t="s">
        <v>633</v>
      </c>
      <c r="K20" s="531" t="s">
        <v>633</v>
      </c>
      <c r="L20" s="531" t="s">
        <v>633</v>
      </c>
      <c r="M20" s="531" t="s">
        <v>633</v>
      </c>
      <c r="N20" s="531">
        <v>11.04</v>
      </c>
      <c r="O20" s="323">
        <v>11.04</v>
      </c>
      <c r="P20" s="323" t="s">
        <v>2418</v>
      </c>
      <c r="Q20" s="322" t="s">
        <v>2418</v>
      </c>
      <c r="R20" s="322" t="s">
        <v>2430</v>
      </c>
      <c r="S20" s="322" t="s">
        <v>2430</v>
      </c>
      <c r="T20" s="322" t="s">
        <v>2430</v>
      </c>
      <c r="U20" s="322" t="s">
        <v>2430</v>
      </c>
      <c r="V20" s="322" t="s">
        <v>2430</v>
      </c>
    </row>
    <row r="21" spans="1:22" s="425" customFormat="1" ht="12.75" customHeight="1">
      <c r="A21" s="2219" t="s">
        <v>1503</v>
      </c>
      <c r="B21" s="2219"/>
      <c r="C21" s="2219"/>
      <c r="D21" s="2219"/>
      <c r="E21" s="182"/>
      <c r="F21" s="182"/>
      <c r="G21" s="182"/>
      <c r="H21" s="182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</row>
    <row r="22" spans="1:22" s="425" customFormat="1" ht="12.75" customHeight="1">
      <c r="A22" s="460"/>
      <c r="B22" s="435"/>
      <c r="C22" s="2208" t="s">
        <v>941</v>
      </c>
      <c r="D22" s="2208"/>
      <c r="E22" s="455" t="s">
        <v>940</v>
      </c>
      <c r="F22" s="455" t="s">
        <v>940</v>
      </c>
      <c r="G22" s="455" t="s">
        <v>940</v>
      </c>
      <c r="H22" s="455" t="s">
        <v>940</v>
      </c>
      <c r="I22" s="455" t="s">
        <v>940</v>
      </c>
      <c r="J22" s="455" t="s">
        <v>940</v>
      </c>
      <c r="K22" s="455" t="s">
        <v>940</v>
      </c>
      <c r="L22" s="455" t="s">
        <v>940</v>
      </c>
      <c r="M22" s="455" t="s">
        <v>940</v>
      </c>
      <c r="N22" s="455" t="s">
        <v>940</v>
      </c>
      <c r="O22" s="455" t="s">
        <v>940</v>
      </c>
      <c r="P22" s="455" t="s">
        <v>940</v>
      </c>
      <c r="Q22" s="455" t="s">
        <v>940</v>
      </c>
      <c r="R22" s="455" t="s">
        <v>940</v>
      </c>
      <c r="S22" s="455" t="s">
        <v>940</v>
      </c>
      <c r="T22" s="455" t="s">
        <v>940</v>
      </c>
      <c r="U22" s="455" t="s">
        <v>940</v>
      </c>
      <c r="V22" s="455" t="s">
        <v>940</v>
      </c>
    </row>
    <row r="23" spans="1:22" s="425" customFormat="1" ht="12.75" customHeight="1">
      <c r="A23" s="461"/>
      <c r="B23" s="182"/>
      <c r="C23" s="2224" t="s">
        <v>942</v>
      </c>
      <c r="D23" s="2224"/>
      <c r="E23" s="477">
        <v>9</v>
      </c>
      <c r="F23" s="477">
        <v>9</v>
      </c>
      <c r="G23" s="477">
        <v>9</v>
      </c>
      <c r="H23" s="477">
        <v>9</v>
      </c>
      <c r="I23" s="477">
        <v>9</v>
      </c>
      <c r="J23" s="477">
        <v>9</v>
      </c>
      <c r="K23" s="477">
        <v>9</v>
      </c>
      <c r="L23" s="477">
        <v>9</v>
      </c>
      <c r="M23" s="477">
        <v>9</v>
      </c>
      <c r="N23" s="477">
        <v>7.5</v>
      </c>
      <c r="O23" s="477">
        <v>8.5</v>
      </c>
      <c r="P23" s="477">
        <v>8.5</v>
      </c>
      <c r="Q23" s="477">
        <v>8.6999999999999993</v>
      </c>
      <c r="R23" s="477">
        <v>8.6999999999999993</v>
      </c>
      <c r="S23" s="477">
        <v>8.6999999999999993</v>
      </c>
      <c r="T23" s="477">
        <v>8.6999999999999993</v>
      </c>
      <c r="U23" s="477">
        <v>8.6999999999999993</v>
      </c>
      <c r="V23" s="477">
        <v>8.6999999999999993</v>
      </c>
    </row>
    <row r="24" spans="1:22" s="425" customFormat="1" ht="12.75" customHeight="1">
      <c r="A24" s="460"/>
      <c r="B24" s="435"/>
      <c r="C24" s="2208" t="s">
        <v>943</v>
      </c>
      <c r="D24" s="2208"/>
      <c r="E24" s="330">
        <v>10</v>
      </c>
      <c r="F24" s="330">
        <v>10</v>
      </c>
      <c r="G24" s="330">
        <v>10</v>
      </c>
      <c r="H24" s="330">
        <v>10</v>
      </c>
      <c r="I24" s="330">
        <v>10</v>
      </c>
      <c r="J24" s="330">
        <v>10</v>
      </c>
      <c r="K24" s="330">
        <v>10</v>
      </c>
      <c r="L24" s="330">
        <v>10</v>
      </c>
      <c r="M24" s="330">
        <v>10</v>
      </c>
      <c r="N24" s="330">
        <v>8.25</v>
      </c>
      <c r="O24" s="330">
        <v>9.25</v>
      </c>
      <c r="P24" s="330">
        <v>9.25</v>
      </c>
      <c r="Q24" s="330">
        <v>9.4499999999999993</v>
      </c>
      <c r="R24" s="330">
        <v>9.4499999999999993</v>
      </c>
      <c r="S24" s="330">
        <v>9.4499999999999993</v>
      </c>
      <c r="T24" s="330">
        <v>9.4499999999999993</v>
      </c>
      <c r="U24" s="330">
        <v>9.4499999999999993</v>
      </c>
      <c r="V24" s="330">
        <v>9.4499999999999993</v>
      </c>
    </row>
    <row r="25" spans="1:22" s="425" customFormat="1" ht="12.75" customHeight="1">
      <c r="A25" s="461"/>
      <c r="B25" s="182"/>
      <c r="C25" s="2224" t="s">
        <v>944</v>
      </c>
      <c r="D25" s="2224"/>
      <c r="E25" s="477">
        <v>11</v>
      </c>
      <c r="F25" s="477">
        <v>11</v>
      </c>
      <c r="G25" s="477">
        <v>11</v>
      </c>
      <c r="H25" s="477">
        <v>11</v>
      </c>
      <c r="I25" s="477">
        <v>11</v>
      </c>
      <c r="J25" s="477">
        <v>11</v>
      </c>
      <c r="K25" s="477">
        <v>11</v>
      </c>
      <c r="L25" s="477">
        <v>11</v>
      </c>
      <c r="M25" s="477">
        <v>11</v>
      </c>
      <c r="N25" s="477">
        <v>9</v>
      </c>
      <c r="O25" s="477">
        <v>10</v>
      </c>
      <c r="P25" s="477">
        <v>10</v>
      </c>
      <c r="Q25" s="477">
        <v>10.199999999999999</v>
      </c>
      <c r="R25" s="477">
        <v>10.199999999999999</v>
      </c>
      <c r="S25" s="477">
        <v>10.199999999999999</v>
      </c>
      <c r="T25" s="477">
        <v>10.199999999999999</v>
      </c>
      <c r="U25" s="477">
        <v>10.199999999999999</v>
      </c>
      <c r="V25" s="477">
        <v>10.199999999999999</v>
      </c>
    </row>
    <row r="26" spans="1:22" s="425" customFormat="1" ht="12.75" customHeight="1">
      <c r="A26" s="460"/>
      <c r="B26" s="435"/>
      <c r="C26" s="2239" t="s">
        <v>945</v>
      </c>
      <c r="D26" s="2239"/>
      <c r="E26" s="328">
        <v>12</v>
      </c>
      <c r="F26" s="328">
        <v>12</v>
      </c>
      <c r="G26" s="328">
        <v>12</v>
      </c>
      <c r="H26" s="328">
        <v>12</v>
      </c>
      <c r="I26" s="328">
        <v>12</v>
      </c>
      <c r="J26" s="328">
        <v>12</v>
      </c>
      <c r="K26" s="328">
        <v>12</v>
      </c>
      <c r="L26" s="328">
        <v>12</v>
      </c>
      <c r="M26" s="328">
        <v>12</v>
      </c>
      <c r="N26" s="328">
        <v>10.5</v>
      </c>
      <c r="O26" s="328">
        <v>11</v>
      </c>
      <c r="P26" s="328">
        <v>11</v>
      </c>
      <c r="Q26" s="328">
        <v>11.2</v>
      </c>
      <c r="R26" s="328">
        <v>11.2</v>
      </c>
      <c r="S26" s="328">
        <v>11.2</v>
      </c>
      <c r="T26" s="328">
        <v>11.2</v>
      </c>
      <c r="U26" s="328">
        <v>11.2</v>
      </c>
      <c r="V26" s="328">
        <v>11.2</v>
      </c>
    </row>
    <row r="27" spans="1:22" s="431" customFormat="1" ht="12.75" customHeight="1">
      <c r="A27" s="461"/>
      <c r="B27" s="183"/>
      <c r="C27" s="2240" t="s">
        <v>946</v>
      </c>
      <c r="D27" s="2240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2419</v>
      </c>
      <c r="P27" s="30" t="s">
        <v>2419</v>
      </c>
      <c r="Q27" s="30" t="s">
        <v>2431</v>
      </c>
      <c r="R27" s="30" t="s">
        <v>2431</v>
      </c>
      <c r="S27" s="30" t="s">
        <v>2431</v>
      </c>
      <c r="T27" s="30" t="s">
        <v>2431</v>
      </c>
      <c r="U27" s="30" t="s">
        <v>2431</v>
      </c>
      <c r="V27" s="30" t="s">
        <v>2431</v>
      </c>
    </row>
    <row r="28" spans="1:22" s="425" customFormat="1">
      <c r="A28" s="2238" t="s">
        <v>1504</v>
      </c>
      <c r="B28" s="2238"/>
      <c r="C28" s="2238"/>
      <c r="D28" s="2238"/>
      <c r="E28" s="432"/>
      <c r="F28" s="432"/>
      <c r="G28" s="432"/>
      <c r="H28" s="432"/>
      <c r="I28" s="432"/>
      <c r="J28" s="432"/>
      <c r="K28" s="432"/>
      <c r="L28" s="432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s="425" customFormat="1" ht="12.75" customHeight="1">
      <c r="A29" s="459"/>
      <c r="B29" s="428"/>
      <c r="C29" s="2223" t="s">
        <v>951</v>
      </c>
      <c r="D29" s="2223"/>
      <c r="E29" s="275" t="s">
        <v>633</v>
      </c>
      <c r="F29" s="275" t="s">
        <v>633</v>
      </c>
      <c r="G29" s="275" t="s">
        <v>633</v>
      </c>
      <c r="H29" s="1508" t="s">
        <v>938</v>
      </c>
      <c r="I29" s="465" t="s">
        <v>938</v>
      </c>
      <c r="J29" s="465" t="s">
        <v>938</v>
      </c>
      <c r="K29" s="465" t="s">
        <v>938</v>
      </c>
      <c r="L29" s="465" t="s">
        <v>938</v>
      </c>
      <c r="M29" s="465" t="s">
        <v>938</v>
      </c>
      <c r="N29" s="465" t="s">
        <v>938</v>
      </c>
      <c r="O29" s="465" t="s">
        <v>938</v>
      </c>
      <c r="P29" s="465" t="s">
        <v>938</v>
      </c>
      <c r="Q29" s="465" t="s">
        <v>938</v>
      </c>
      <c r="R29" s="465" t="s">
        <v>938</v>
      </c>
      <c r="S29" s="465" t="s">
        <v>938</v>
      </c>
      <c r="T29" s="465" t="s">
        <v>938</v>
      </c>
      <c r="U29" s="465" t="s">
        <v>938</v>
      </c>
      <c r="V29" s="465" t="s">
        <v>938</v>
      </c>
    </row>
    <row r="30" spans="1:22" s="425" customFormat="1" ht="12.75" customHeight="1">
      <c r="A30" s="458"/>
      <c r="B30" s="433"/>
      <c r="C30" s="2208" t="s">
        <v>952</v>
      </c>
      <c r="D30" s="2208"/>
      <c r="E30" s="349" t="s">
        <v>633</v>
      </c>
      <c r="F30" s="349" t="s">
        <v>633</v>
      </c>
      <c r="G30" s="349" t="s">
        <v>633</v>
      </c>
      <c r="H30" s="349">
        <v>6.5</v>
      </c>
      <c r="I30" s="330">
        <v>6.5</v>
      </c>
      <c r="J30" s="330">
        <v>6.5</v>
      </c>
      <c r="K30" s="330">
        <v>6.5</v>
      </c>
      <c r="L30" s="330">
        <v>6.5</v>
      </c>
      <c r="M30" s="330">
        <v>6.5</v>
      </c>
      <c r="N30" s="330">
        <v>6.5</v>
      </c>
      <c r="O30" s="330">
        <v>6.5</v>
      </c>
      <c r="P30" s="330">
        <v>6.5</v>
      </c>
      <c r="Q30" s="330">
        <v>6.5</v>
      </c>
      <c r="R30" s="330">
        <v>6.5</v>
      </c>
      <c r="S30" s="330">
        <v>6.5</v>
      </c>
      <c r="T30" s="330">
        <v>6.5</v>
      </c>
      <c r="U30" s="330">
        <v>6.5</v>
      </c>
      <c r="V30" s="330">
        <v>4.5</v>
      </c>
    </row>
    <row r="31" spans="1:22" s="425" customFormat="1" ht="12.75" customHeight="1">
      <c r="A31" s="459"/>
      <c r="B31" s="428"/>
      <c r="C31" s="2224" t="s">
        <v>953</v>
      </c>
      <c r="D31" s="2224"/>
      <c r="E31" s="275" t="s">
        <v>633</v>
      </c>
      <c r="F31" s="275" t="s">
        <v>633</v>
      </c>
      <c r="G31" s="275" t="s">
        <v>633</v>
      </c>
      <c r="H31" s="275">
        <v>7</v>
      </c>
      <c r="I31" s="477">
        <v>7</v>
      </c>
      <c r="J31" s="477">
        <v>7</v>
      </c>
      <c r="K31" s="477">
        <v>7</v>
      </c>
      <c r="L31" s="477">
        <v>7</v>
      </c>
      <c r="M31" s="477">
        <v>7</v>
      </c>
      <c r="N31" s="477">
        <v>7</v>
      </c>
      <c r="O31" s="477">
        <v>7</v>
      </c>
      <c r="P31" s="477">
        <v>7</v>
      </c>
      <c r="Q31" s="477">
        <v>7</v>
      </c>
      <c r="R31" s="477">
        <v>7</v>
      </c>
      <c r="S31" s="477">
        <v>7</v>
      </c>
      <c r="T31" s="477">
        <v>7</v>
      </c>
      <c r="U31" s="477">
        <v>7</v>
      </c>
      <c r="V31" s="477">
        <v>5</v>
      </c>
    </row>
    <row r="32" spans="1:22" s="425" customFormat="1" ht="12" customHeight="1">
      <c r="A32" s="458"/>
      <c r="B32" s="433"/>
      <c r="C32" s="2225" t="s">
        <v>966</v>
      </c>
      <c r="D32" s="2225"/>
      <c r="E32" s="349" t="s">
        <v>633</v>
      </c>
      <c r="F32" s="349" t="s">
        <v>633</v>
      </c>
      <c r="G32" s="349" t="s">
        <v>633</v>
      </c>
      <c r="H32" s="349">
        <v>7.5</v>
      </c>
      <c r="I32" s="330">
        <v>7.5</v>
      </c>
      <c r="J32" s="330">
        <v>7.5</v>
      </c>
      <c r="K32" s="330">
        <v>7.5</v>
      </c>
      <c r="L32" s="330">
        <v>7.5</v>
      </c>
      <c r="M32" s="330">
        <v>7.5</v>
      </c>
      <c r="N32" s="330">
        <v>7.5</v>
      </c>
      <c r="O32" s="330">
        <v>7.5</v>
      </c>
      <c r="P32" s="330">
        <v>7.5</v>
      </c>
      <c r="Q32" s="330">
        <v>7.5</v>
      </c>
      <c r="R32" s="330">
        <v>7.5</v>
      </c>
      <c r="S32" s="330">
        <v>7.5</v>
      </c>
      <c r="T32" s="330">
        <v>7.5</v>
      </c>
      <c r="U32" s="330">
        <v>7.5</v>
      </c>
      <c r="V32" s="330">
        <v>5.5</v>
      </c>
    </row>
    <row r="33" spans="1:22" s="182" customFormat="1" ht="12.75" customHeight="1">
      <c r="A33" s="2229" t="s">
        <v>1505</v>
      </c>
      <c r="B33" s="2229"/>
      <c r="C33" s="2229"/>
      <c r="D33" s="2229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</row>
    <row r="34" spans="1:22" s="182" customFormat="1" ht="12.75" customHeight="1">
      <c r="A34" s="462"/>
      <c r="B34" s="435"/>
      <c r="C34" s="2225" t="s">
        <v>951</v>
      </c>
      <c r="D34" s="2225"/>
      <c r="E34" s="349" t="s">
        <v>633</v>
      </c>
      <c r="F34" s="349" t="s">
        <v>633</v>
      </c>
      <c r="G34" s="349" t="s">
        <v>633</v>
      </c>
      <c r="H34" s="1509" t="s">
        <v>939</v>
      </c>
      <c r="I34" s="454" t="s">
        <v>939</v>
      </c>
      <c r="J34" s="454" t="s">
        <v>939</v>
      </c>
      <c r="K34" s="454" t="s">
        <v>939</v>
      </c>
      <c r="L34" s="454" t="s">
        <v>939</v>
      </c>
      <c r="M34" s="454" t="s">
        <v>939</v>
      </c>
      <c r="N34" s="454" t="s">
        <v>939</v>
      </c>
      <c r="O34" s="454" t="s">
        <v>939</v>
      </c>
      <c r="P34" s="454" t="s">
        <v>939</v>
      </c>
      <c r="Q34" s="454" t="s">
        <v>939</v>
      </c>
      <c r="R34" s="454" t="s">
        <v>939</v>
      </c>
      <c r="S34" s="454" t="s">
        <v>939</v>
      </c>
      <c r="T34" s="454" t="s">
        <v>939</v>
      </c>
      <c r="U34" s="454" t="s">
        <v>939</v>
      </c>
      <c r="V34" s="454" t="s">
        <v>939</v>
      </c>
    </row>
    <row r="35" spans="1:22" s="182" customFormat="1" ht="12.75" customHeight="1">
      <c r="A35" s="466"/>
      <c r="C35" s="2224" t="s">
        <v>952</v>
      </c>
      <c r="D35" s="2224"/>
      <c r="E35" s="275" t="s">
        <v>633</v>
      </c>
      <c r="F35" s="275" t="s">
        <v>633</v>
      </c>
      <c r="G35" s="275" t="s">
        <v>633</v>
      </c>
      <c r="H35" s="275">
        <v>5.5</v>
      </c>
      <c r="I35" s="477">
        <v>5.5</v>
      </c>
      <c r="J35" s="477">
        <v>5.5</v>
      </c>
      <c r="K35" s="477">
        <v>5.5</v>
      </c>
      <c r="L35" s="477">
        <v>5.5</v>
      </c>
      <c r="M35" s="477">
        <v>5.5</v>
      </c>
      <c r="N35" s="477">
        <v>5.5</v>
      </c>
      <c r="O35" s="477">
        <v>5.5</v>
      </c>
      <c r="P35" s="477">
        <v>5.5</v>
      </c>
      <c r="Q35" s="477">
        <v>5.5</v>
      </c>
      <c r="R35" s="477">
        <v>5.5</v>
      </c>
      <c r="S35" s="477">
        <v>5.5</v>
      </c>
      <c r="T35" s="477">
        <v>5.5</v>
      </c>
      <c r="U35" s="477">
        <v>5.5</v>
      </c>
      <c r="V35" s="477">
        <v>4</v>
      </c>
    </row>
    <row r="36" spans="1:22" s="182" customFormat="1" ht="12.75" customHeight="1">
      <c r="A36" s="462"/>
      <c r="B36" s="435"/>
      <c r="C36" s="2208" t="s">
        <v>953</v>
      </c>
      <c r="D36" s="2208"/>
      <c r="E36" s="349" t="s">
        <v>633</v>
      </c>
      <c r="F36" s="349" t="s">
        <v>633</v>
      </c>
      <c r="G36" s="349" t="s">
        <v>633</v>
      </c>
      <c r="H36" s="349">
        <v>6</v>
      </c>
      <c r="I36" s="330">
        <v>6</v>
      </c>
      <c r="J36" s="330">
        <v>6</v>
      </c>
      <c r="K36" s="330">
        <v>6</v>
      </c>
      <c r="L36" s="330">
        <v>6</v>
      </c>
      <c r="M36" s="330">
        <v>6</v>
      </c>
      <c r="N36" s="330">
        <v>6</v>
      </c>
      <c r="O36" s="330">
        <v>6</v>
      </c>
      <c r="P36" s="330">
        <v>6</v>
      </c>
      <c r="Q36" s="330">
        <v>6</v>
      </c>
      <c r="R36" s="330">
        <v>6</v>
      </c>
      <c r="S36" s="330">
        <v>6</v>
      </c>
      <c r="T36" s="330">
        <v>6</v>
      </c>
      <c r="U36" s="330">
        <v>6</v>
      </c>
      <c r="V36" s="330">
        <v>4.5</v>
      </c>
    </row>
    <row r="37" spans="1:22" s="182" customFormat="1" ht="12.75" customHeight="1">
      <c r="A37" s="466"/>
      <c r="C37" s="2231" t="s">
        <v>966</v>
      </c>
      <c r="D37" s="2231"/>
      <c r="E37" s="275" t="s">
        <v>633</v>
      </c>
      <c r="F37" s="275" t="s">
        <v>633</v>
      </c>
      <c r="G37" s="275" t="s">
        <v>633</v>
      </c>
      <c r="H37" s="275">
        <v>6.5</v>
      </c>
      <c r="I37" s="477">
        <v>6.5</v>
      </c>
      <c r="J37" s="477">
        <v>6.5</v>
      </c>
      <c r="K37" s="477">
        <v>6.5</v>
      </c>
      <c r="L37" s="477">
        <v>6.5</v>
      </c>
      <c r="M37" s="477">
        <v>6.5</v>
      </c>
      <c r="N37" s="477">
        <v>6.5</v>
      </c>
      <c r="O37" s="477">
        <v>6.5</v>
      </c>
      <c r="P37" s="477">
        <v>6.5</v>
      </c>
      <c r="Q37" s="477">
        <v>6.5</v>
      </c>
      <c r="R37" s="477">
        <v>6.5</v>
      </c>
      <c r="S37" s="477">
        <v>6.5</v>
      </c>
      <c r="T37" s="477">
        <v>6.5</v>
      </c>
      <c r="U37" s="477">
        <v>6.5</v>
      </c>
      <c r="V37" s="477">
        <v>5</v>
      </c>
    </row>
    <row r="38" spans="1:22" s="182" customFormat="1" ht="22.5" customHeight="1">
      <c r="A38" s="469" t="s">
        <v>84</v>
      </c>
      <c r="B38" s="2227" t="s">
        <v>976</v>
      </c>
      <c r="C38" s="2227"/>
      <c r="D38" s="2227"/>
      <c r="E38" s="468"/>
      <c r="F38" s="468"/>
      <c r="G38" s="468"/>
      <c r="H38" s="468"/>
      <c r="I38" s="468"/>
      <c r="J38" s="468"/>
      <c r="K38" s="468"/>
      <c r="L38" s="468"/>
      <c r="M38" s="470"/>
      <c r="N38" s="470"/>
      <c r="O38" s="470"/>
      <c r="P38" s="470"/>
      <c r="Q38" s="470"/>
      <c r="R38" s="470"/>
      <c r="S38" s="470"/>
      <c r="T38" s="470"/>
      <c r="U38" s="470"/>
      <c r="V38" s="470"/>
    </row>
    <row r="39" spans="1:22" s="182" customFormat="1" ht="13.5" customHeight="1">
      <c r="A39" s="459"/>
      <c r="B39" s="2230" t="s">
        <v>948</v>
      </c>
      <c r="C39" s="2230"/>
      <c r="D39" s="2230"/>
      <c r="E39" s="427"/>
      <c r="F39" s="427"/>
      <c r="G39" s="427"/>
      <c r="H39" s="427"/>
      <c r="I39" s="427"/>
      <c r="J39" s="427"/>
      <c r="K39" s="427"/>
      <c r="L39" s="427"/>
      <c r="M39" s="429"/>
      <c r="N39" s="429"/>
      <c r="O39" s="429"/>
      <c r="P39" s="429"/>
      <c r="Q39" s="429"/>
      <c r="R39" s="429"/>
      <c r="S39" s="429"/>
      <c r="T39" s="429"/>
      <c r="U39" s="429"/>
      <c r="V39" s="429"/>
    </row>
    <row r="40" spans="1:22" s="182" customFormat="1" ht="13.5" customHeight="1">
      <c r="A40" s="458"/>
      <c r="B40" s="433"/>
      <c r="C40" s="2228" t="s">
        <v>297</v>
      </c>
      <c r="D40" s="2228"/>
      <c r="E40" s="349">
        <v>13</v>
      </c>
      <c r="F40" s="349">
        <v>13</v>
      </c>
      <c r="G40" s="349">
        <v>13</v>
      </c>
      <c r="H40" s="349">
        <v>13</v>
      </c>
      <c r="I40" s="349">
        <v>13</v>
      </c>
      <c r="J40" s="349">
        <v>13</v>
      </c>
      <c r="K40" s="349">
        <v>13</v>
      </c>
      <c r="L40" s="349">
        <v>12</v>
      </c>
      <c r="M40" s="320">
        <v>12</v>
      </c>
      <c r="N40" s="320">
        <v>12</v>
      </c>
      <c r="O40" s="320">
        <v>12</v>
      </c>
      <c r="P40" s="320">
        <v>12</v>
      </c>
      <c r="Q40" s="320">
        <v>12</v>
      </c>
      <c r="R40" s="320">
        <v>12</v>
      </c>
      <c r="S40" s="320">
        <v>12</v>
      </c>
      <c r="T40" s="320">
        <v>12</v>
      </c>
      <c r="U40" s="320">
        <v>12</v>
      </c>
      <c r="V40" s="320">
        <v>12</v>
      </c>
    </row>
    <row r="41" spans="1:22" s="182" customFormat="1" ht="13.5" customHeight="1">
      <c r="A41" s="459"/>
      <c r="B41" s="428"/>
      <c r="C41" s="2226" t="s">
        <v>296</v>
      </c>
      <c r="D41" s="2226"/>
      <c r="E41" s="275">
        <v>15</v>
      </c>
      <c r="F41" s="275">
        <v>15</v>
      </c>
      <c r="G41" s="275">
        <v>15</v>
      </c>
      <c r="H41" s="275">
        <v>15</v>
      </c>
      <c r="I41" s="275">
        <v>15</v>
      </c>
      <c r="J41" s="275">
        <v>15</v>
      </c>
      <c r="K41" s="275">
        <v>15</v>
      </c>
      <c r="L41" s="275">
        <v>12</v>
      </c>
      <c r="M41" s="256">
        <v>12</v>
      </c>
      <c r="N41" s="256">
        <v>12</v>
      </c>
      <c r="O41" s="256">
        <v>12</v>
      </c>
      <c r="P41" s="256">
        <v>12</v>
      </c>
      <c r="Q41" s="256">
        <v>12</v>
      </c>
      <c r="R41" s="256">
        <v>12</v>
      </c>
      <c r="S41" s="256">
        <v>12</v>
      </c>
      <c r="T41" s="256">
        <v>12</v>
      </c>
      <c r="U41" s="256">
        <v>12</v>
      </c>
      <c r="V41" s="256">
        <v>12</v>
      </c>
    </row>
    <row r="42" spans="1:22" s="182" customFormat="1" ht="13.5" customHeight="1" thickBot="1">
      <c r="A42" s="471"/>
      <c r="B42" s="2222" t="s">
        <v>949</v>
      </c>
      <c r="C42" s="2222"/>
      <c r="D42" s="2222"/>
      <c r="E42" s="369">
        <v>10</v>
      </c>
      <c r="F42" s="369">
        <v>10</v>
      </c>
      <c r="G42" s="369">
        <v>10</v>
      </c>
      <c r="H42" s="369">
        <v>10</v>
      </c>
      <c r="I42" s="369">
        <v>10</v>
      </c>
      <c r="J42" s="369">
        <v>10</v>
      </c>
      <c r="K42" s="369">
        <v>10</v>
      </c>
      <c r="L42" s="369">
        <v>10</v>
      </c>
      <c r="M42" s="524">
        <v>10</v>
      </c>
      <c r="N42" s="524">
        <v>10</v>
      </c>
      <c r="O42" s="524">
        <v>10</v>
      </c>
      <c r="P42" s="524">
        <v>10</v>
      </c>
      <c r="Q42" s="524">
        <v>10</v>
      </c>
      <c r="R42" s="524">
        <v>10</v>
      </c>
      <c r="S42" s="524">
        <v>10</v>
      </c>
      <c r="T42" s="524">
        <v>10</v>
      </c>
      <c r="U42" s="524">
        <v>10</v>
      </c>
      <c r="V42" s="524">
        <v>10</v>
      </c>
    </row>
    <row r="43" spans="1:22" s="183" customFormat="1" ht="10.5" customHeight="1">
      <c r="A43" s="472" t="s">
        <v>30</v>
      </c>
      <c r="B43" s="311"/>
      <c r="C43" s="2221" t="s">
        <v>1556</v>
      </c>
      <c r="D43" s="2221"/>
      <c r="E43" s="1112"/>
      <c r="F43" s="1112"/>
      <c r="G43" s="1112"/>
      <c r="K43" s="476" t="s">
        <v>2420</v>
      </c>
      <c r="L43" s="310"/>
      <c r="M43" s="474"/>
      <c r="N43" s="430"/>
      <c r="O43" s="430"/>
      <c r="P43" s="430"/>
      <c r="Q43" s="430"/>
      <c r="R43" s="430"/>
      <c r="S43" s="430"/>
      <c r="T43" s="430"/>
      <c r="U43" s="430"/>
      <c r="V43" s="430"/>
    </row>
    <row r="44" spans="1:22" s="310" customFormat="1" ht="9.75" customHeight="1">
      <c r="A44" s="472"/>
      <c r="B44" s="311"/>
      <c r="C44" s="2221" t="s">
        <v>1506</v>
      </c>
      <c r="D44" s="2221"/>
      <c r="E44" s="2221"/>
      <c r="F44" s="2221"/>
      <c r="G44" s="2221"/>
      <c r="K44" s="476" t="s">
        <v>2421</v>
      </c>
      <c r="L44" s="142"/>
      <c r="M44" s="142"/>
      <c r="N44" s="474"/>
    </row>
    <row r="45" spans="1:22" s="310" customFormat="1" ht="9.75" customHeight="1">
      <c r="A45" s="473"/>
      <c r="B45" s="311"/>
      <c r="C45" s="2221" t="s">
        <v>1557</v>
      </c>
      <c r="D45" s="2221"/>
      <c r="E45" s="474"/>
      <c r="F45" s="474"/>
      <c r="G45" s="474"/>
      <c r="K45" s="476" t="s">
        <v>2422</v>
      </c>
    </row>
    <row r="46" spans="1:22" s="310" customFormat="1" ht="9.75" customHeight="1">
      <c r="A46" s="473"/>
      <c r="B46" s="311"/>
      <c r="C46" s="1402"/>
      <c r="D46" s="142" t="s">
        <v>501</v>
      </c>
      <c r="F46" s="474"/>
      <c r="G46" s="474"/>
      <c r="H46" s="474"/>
      <c r="K46" s="476" t="s">
        <v>2423</v>
      </c>
    </row>
    <row r="47" spans="1:22" s="13" customFormat="1" ht="9.75" customHeight="1">
      <c r="A47" s="675"/>
      <c r="D47" s="142"/>
      <c r="E47" s="310"/>
      <c r="F47" s="142"/>
      <c r="G47" s="142"/>
      <c r="H47" s="142"/>
      <c r="K47" s="476" t="s">
        <v>2424</v>
      </c>
    </row>
    <row r="48" spans="1:22" s="13" customFormat="1" ht="9.75" customHeight="1">
      <c r="A48" s="475"/>
      <c r="E48" s="142"/>
      <c r="F48" s="142"/>
      <c r="G48" s="142"/>
      <c r="H48" s="142"/>
    </row>
    <row r="54" spans="2:8">
      <c r="B54" s="445"/>
      <c r="C54" s="448"/>
      <c r="D54" s="449"/>
      <c r="E54" s="443"/>
      <c r="F54" s="444"/>
      <c r="G54" s="443"/>
      <c r="H54" s="443"/>
    </row>
    <row r="55" spans="2:8">
      <c r="B55" s="450"/>
      <c r="C55" s="448"/>
      <c r="D55" s="451"/>
      <c r="E55" s="443"/>
      <c r="F55" s="444"/>
      <c r="G55" s="452"/>
      <c r="H55" s="452"/>
    </row>
    <row r="56" spans="2:8">
      <c r="B56" s="453"/>
      <c r="C56" s="453"/>
      <c r="D56" s="447"/>
      <c r="E56" s="453"/>
      <c r="F56" s="453"/>
      <c r="G56" s="453"/>
      <c r="H56" s="453"/>
    </row>
    <row r="57" spans="2:8">
      <c r="B57" s="446"/>
      <c r="C57" s="453"/>
      <c r="D57" s="447"/>
      <c r="E57" s="453"/>
      <c r="F57" s="453"/>
      <c r="G57" s="453"/>
      <c r="H57" s="45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45" firstPageNumber="64" orientation="portrait" useFirstPageNumber="1" r:id="rId2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M37" zoomScale="170" zoomScaleNormal="170" workbookViewId="0">
      <pane xSplit="21345" topLeftCell="G1"/>
      <selection activeCell="W44" sqref="W44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2094</v>
      </c>
      <c r="B1" s="1835" t="s">
        <v>901</v>
      </c>
      <c r="C1" s="1835"/>
      <c r="D1" s="1835"/>
      <c r="E1" s="1835"/>
      <c r="F1" s="1835"/>
      <c r="G1" s="1835"/>
      <c r="H1" s="1835"/>
      <c r="I1" s="1835"/>
      <c r="J1" s="1835"/>
      <c r="K1" s="2246" t="s">
        <v>2659</v>
      </c>
      <c r="L1" s="2246"/>
      <c r="M1" s="2246"/>
      <c r="N1" s="2246"/>
      <c r="O1" s="2246"/>
      <c r="P1" s="2246"/>
      <c r="Q1" s="2246"/>
      <c r="R1" s="1054"/>
      <c r="S1" s="1463" t="s">
        <v>1208</v>
      </c>
      <c r="T1" s="1463"/>
      <c r="U1" s="1835" t="s">
        <v>2115</v>
      </c>
      <c r="V1" s="1835"/>
      <c r="W1" s="1835"/>
      <c r="X1" s="1835"/>
      <c r="Y1" s="1835"/>
      <c r="Z1" s="1835"/>
      <c r="AA1" s="1835"/>
      <c r="AB1" s="1835"/>
      <c r="AC1" s="2246" t="s">
        <v>2660</v>
      </c>
      <c r="AD1" s="2246"/>
      <c r="AE1" s="2246"/>
      <c r="AF1" s="2246"/>
      <c r="AG1" s="2246"/>
      <c r="AH1" s="1442"/>
      <c r="AI1" s="2247" t="s">
        <v>1208</v>
      </c>
      <c r="AJ1" s="2247"/>
      <c r="AK1" s="1835" t="s">
        <v>2116</v>
      </c>
      <c r="AL1" s="1835"/>
      <c r="AM1" s="1835"/>
      <c r="AN1" s="1835"/>
      <c r="AO1" s="1835"/>
      <c r="AP1" s="1835"/>
      <c r="AQ1" s="1835"/>
      <c r="AR1" s="1835"/>
      <c r="AS1" s="2246" t="s">
        <v>2661</v>
      </c>
      <c r="AT1" s="2246"/>
      <c r="AU1" s="2246"/>
      <c r="AV1" s="2246"/>
      <c r="AW1" s="2246"/>
      <c r="AX1" s="2246"/>
      <c r="AY1" s="1449"/>
      <c r="AZ1" s="2266" t="s">
        <v>1208</v>
      </c>
      <c r="BA1" s="2266"/>
      <c r="BC1" s="881"/>
      <c r="BD1" s="1835" t="s">
        <v>901</v>
      </c>
      <c r="BE1" s="1835"/>
      <c r="BF1" s="1835"/>
      <c r="BG1" s="1835"/>
      <c r="BH1" s="2246" t="s">
        <v>2660</v>
      </c>
      <c r="BI1" s="2246"/>
      <c r="BJ1" s="2246"/>
      <c r="BK1" s="2246"/>
      <c r="BL1" s="1449"/>
      <c r="BM1" s="2247" t="s">
        <v>1209</v>
      </c>
      <c r="BN1" s="2247"/>
    </row>
    <row r="2" spans="1:66" ht="11.25" customHeight="1">
      <c r="C2" s="882"/>
      <c r="D2" s="882"/>
      <c r="E2" s="882"/>
      <c r="F2" s="882"/>
      <c r="G2" s="882"/>
      <c r="H2" s="882"/>
      <c r="I2" s="882"/>
      <c r="J2" s="882"/>
      <c r="K2" s="882"/>
      <c r="L2" s="2249"/>
      <c r="M2" s="2249"/>
      <c r="N2" s="883"/>
      <c r="O2" s="883"/>
      <c r="P2" s="883"/>
      <c r="Q2" s="883"/>
      <c r="S2" s="1367"/>
      <c r="T2" s="1446" t="s">
        <v>554</v>
      </c>
      <c r="Y2" s="2273"/>
      <c r="Z2" s="2273"/>
      <c r="AA2" s="1448"/>
      <c r="AB2" s="1448"/>
      <c r="AC2" s="1448"/>
      <c r="AD2" s="1448"/>
      <c r="AE2" s="1448"/>
      <c r="AF2" s="1448"/>
      <c r="AG2" s="883"/>
      <c r="AI2" s="1367"/>
      <c r="AJ2" s="1446" t="s">
        <v>554</v>
      </c>
      <c r="AK2" s="1367"/>
      <c r="AL2" s="1446"/>
      <c r="AM2" s="882"/>
      <c r="AN2" s="882"/>
      <c r="AO2" s="1451"/>
      <c r="AP2" s="1448"/>
      <c r="AQ2" s="1448"/>
      <c r="AR2" s="1448"/>
      <c r="AS2" s="1448"/>
      <c r="AT2" s="1448"/>
      <c r="AU2" s="1448"/>
      <c r="AV2" s="883"/>
      <c r="AW2" s="883"/>
      <c r="AX2" s="883"/>
      <c r="AY2" s="883"/>
      <c r="AZ2" s="1367"/>
      <c r="BA2" s="1446" t="s">
        <v>554</v>
      </c>
      <c r="BD2" s="882"/>
      <c r="BE2" s="882"/>
      <c r="BF2" s="2248"/>
      <c r="BG2" s="2248"/>
      <c r="BH2" s="2249"/>
      <c r="BI2" s="2249"/>
      <c r="BJ2" s="2249"/>
      <c r="BK2" s="883"/>
      <c r="BL2" s="883"/>
      <c r="BM2" s="1367"/>
      <c r="BN2" s="1446" t="s">
        <v>554</v>
      </c>
    </row>
    <row r="3" spans="1:66" s="884" customFormat="1" ht="13.5" customHeight="1">
      <c r="A3" s="2259" t="s">
        <v>145</v>
      </c>
      <c r="B3" s="2254"/>
      <c r="C3" s="2250" t="s">
        <v>97</v>
      </c>
      <c r="D3" s="2251"/>
      <c r="E3" s="2251"/>
      <c r="F3" s="2251"/>
      <c r="G3" s="2251"/>
      <c r="H3" s="2252"/>
      <c r="I3" s="2270" t="s">
        <v>2381</v>
      </c>
      <c r="J3" s="2271"/>
      <c r="K3" s="2272"/>
      <c r="L3" s="2250" t="s">
        <v>147</v>
      </c>
      <c r="M3" s="2251"/>
      <c r="N3" s="2251"/>
      <c r="O3" s="2251"/>
      <c r="P3" s="2251"/>
      <c r="Q3" s="2251"/>
      <c r="R3" s="2252"/>
      <c r="S3" s="2259" t="s">
        <v>145</v>
      </c>
      <c r="T3" s="2254"/>
      <c r="U3" s="2259" t="s">
        <v>145</v>
      </c>
      <c r="V3" s="2254"/>
      <c r="W3" s="2250" t="s">
        <v>650</v>
      </c>
      <c r="X3" s="2251"/>
      <c r="Y3" s="2251"/>
      <c r="Z3" s="2251"/>
      <c r="AA3" s="2251"/>
      <c r="AB3" s="2251"/>
      <c r="AC3" s="2251"/>
      <c r="AD3" s="2251"/>
      <c r="AE3" s="2251"/>
      <c r="AF3" s="2251"/>
      <c r="AG3" s="2251"/>
      <c r="AH3" s="2252"/>
      <c r="AI3" s="2259" t="s">
        <v>145</v>
      </c>
      <c r="AJ3" s="2254"/>
      <c r="AK3" s="2260" t="s">
        <v>145</v>
      </c>
      <c r="AL3" s="2261"/>
      <c r="AM3" s="2250" t="s">
        <v>650</v>
      </c>
      <c r="AN3" s="2251"/>
      <c r="AO3" s="2251"/>
      <c r="AP3" s="2251"/>
      <c r="AQ3" s="2251"/>
      <c r="AR3" s="2251"/>
      <c r="AS3" s="2251"/>
      <c r="AT3" s="2251"/>
      <c r="AU3" s="2251"/>
      <c r="AV3" s="2251"/>
      <c r="AW3" s="2251"/>
      <c r="AX3" s="2251"/>
      <c r="AY3" s="2252"/>
      <c r="AZ3" s="2253" t="s">
        <v>145</v>
      </c>
      <c r="BA3" s="2254"/>
      <c r="BB3" s="2259" t="s">
        <v>145</v>
      </c>
      <c r="BC3" s="2254"/>
      <c r="BD3" s="2250" t="s">
        <v>651</v>
      </c>
      <c r="BE3" s="2251"/>
      <c r="BF3" s="2251"/>
      <c r="BG3" s="2251"/>
      <c r="BH3" s="2251"/>
      <c r="BI3" s="2251"/>
      <c r="BJ3" s="2251"/>
      <c r="BK3" s="2251"/>
      <c r="BL3" s="2252"/>
      <c r="BM3" s="2259" t="s">
        <v>145</v>
      </c>
      <c r="BN3" s="2254"/>
    </row>
    <row r="4" spans="1:66" s="274" customFormat="1" ht="24" customHeight="1">
      <c r="A4" s="2255"/>
      <c r="B4" s="2256"/>
      <c r="C4" s="1491" t="s">
        <v>1630</v>
      </c>
      <c r="D4" s="1491" t="s">
        <v>1631</v>
      </c>
      <c r="E4" s="1491" t="s">
        <v>1632</v>
      </c>
      <c r="F4" s="1491" t="s">
        <v>1633</v>
      </c>
      <c r="G4" s="1491" t="s">
        <v>1634</v>
      </c>
      <c r="H4" s="1491" t="s">
        <v>505</v>
      </c>
      <c r="I4" s="1491" t="s">
        <v>1473</v>
      </c>
      <c r="J4" s="1492" t="s">
        <v>148</v>
      </c>
      <c r="K4" s="1491" t="s">
        <v>2095</v>
      </c>
      <c r="L4" s="1534" t="s">
        <v>1635</v>
      </c>
      <c r="M4" s="1491" t="s">
        <v>149</v>
      </c>
      <c r="N4" s="1491" t="s">
        <v>1636</v>
      </c>
      <c r="O4" s="1491" t="s">
        <v>1637</v>
      </c>
      <c r="P4" s="1491" t="s">
        <v>1638</v>
      </c>
      <c r="Q4" s="1534" t="s">
        <v>1639</v>
      </c>
      <c r="R4" s="1491" t="s">
        <v>1640</v>
      </c>
      <c r="S4" s="2255"/>
      <c r="T4" s="2256"/>
      <c r="U4" s="2255"/>
      <c r="V4" s="2256"/>
      <c r="W4" s="1491" t="s">
        <v>1641</v>
      </c>
      <c r="X4" s="1491" t="s">
        <v>171</v>
      </c>
      <c r="Y4" s="1491" t="s">
        <v>1642</v>
      </c>
      <c r="Z4" s="1491" t="s">
        <v>1643</v>
      </c>
      <c r="AA4" s="1491" t="s">
        <v>172</v>
      </c>
      <c r="AB4" s="1491" t="s">
        <v>1644</v>
      </c>
      <c r="AC4" s="1491" t="s">
        <v>1645</v>
      </c>
      <c r="AD4" s="1491" t="s">
        <v>1646</v>
      </c>
      <c r="AE4" s="1491" t="s">
        <v>1647</v>
      </c>
      <c r="AF4" s="1534" t="s">
        <v>1685</v>
      </c>
      <c r="AG4" s="1491" t="s">
        <v>1648</v>
      </c>
      <c r="AH4" s="1491" t="s">
        <v>1649</v>
      </c>
      <c r="AI4" s="2255"/>
      <c r="AJ4" s="2256"/>
      <c r="AK4" s="2262"/>
      <c r="AL4" s="2263"/>
      <c r="AM4" s="1493" t="s">
        <v>1650</v>
      </c>
      <c r="AN4" s="1493" t="s">
        <v>1651</v>
      </c>
      <c r="AO4" s="1493" t="s">
        <v>1652</v>
      </c>
      <c r="AP4" s="1493" t="s">
        <v>1653</v>
      </c>
      <c r="AQ4" s="1493" t="s">
        <v>1654</v>
      </c>
      <c r="AR4" s="1493" t="s">
        <v>1655</v>
      </c>
      <c r="AS4" s="1493" t="s">
        <v>1656</v>
      </c>
      <c r="AT4" s="1493" t="s">
        <v>1657</v>
      </c>
      <c r="AU4" s="1493" t="s">
        <v>173</v>
      </c>
      <c r="AV4" s="1493" t="s">
        <v>1658</v>
      </c>
      <c r="AW4" s="1493" t="s">
        <v>1659</v>
      </c>
      <c r="AX4" s="1493" t="s">
        <v>2096</v>
      </c>
      <c r="AY4" s="1493" t="s">
        <v>2463</v>
      </c>
      <c r="AZ4" s="2255"/>
      <c r="BA4" s="2256"/>
      <c r="BB4" s="2255"/>
      <c r="BC4" s="2256"/>
      <c r="BD4" s="1494" t="s">
        <v>1660</v>
      </c>
      <c r="BE4" s="1499" t="s">
        <v>1661</v>
      </c>
      <c r="BF4" s="1494" t="s">
        <v>1662</v>
      </c>
      <c r="BG4" s="848" t="s">
        <v>1507</v>
      </c>
      <c r="BH4" s="1491" t="s">
        <v>1663</v>
      </c>
      <c r="BI4" s="1499" t="s">
        <v>1664</v>
      </c>
      <c r="BJ4" s="1491" t="s">
        <v>174</v>
      </c>
      <c r="BK4" s="1491" t="s">
        <v>652</v>
      </c>
      <c r="BL4" s="1491" t="s">
        <v>2382</v>
      </c>
      <c r="BM4" s="2255"/>
      <c r="BN4" s="2256"/>
    </row>
    <row r="5" spans="1:66" s="100" customFormat="1" ht="10.5" customHeight="1">
      <c r="A5" s="2257"/>
      <c r="B5" s="2258"/>
      <c r="C5" s="1445">
        <v>1</v>
      </c>
      <c r="D5" s="1459">
        <v>2</v>
      </c>
      <c r="E5" s="1445">
        <v>3</v>
      </c>
      <c r="F5" s="1459">
        <v>4</v>
      </c>
      <c r="G5" s="1445">
        <v>5</v>
      </c>
      <c r="H5" s="1445">
        <v>6</v>
      </c>
      <c r="I5" s="1051">
        <v>7</v>
      </c>
      <c r="J5" s="1051">
        <v>8</v>
      </c>
      <c r="K5" s="1445">
        <v>9</v>
      </c>
      <c r="L5" s="818">
        <v>10</v>
      </c>
      <c r="M5" s="1459">
        <v>11</v>
      </c>
      <c r="N5" s="1445">
        <v>12</v>
      </c>
      <c r="O5" s="1459">
        <v>13</v>
      </c>
      <c r="P5" s="1445">
        <v>14</v>
      </c>
      <c r="Q5" s="1459">
        <v>15</v>
      </c>
      <c r="R5" s="1445">
        <v>16</v>
      </c>
      <c r="S5" s="2257"/>
      <c r="T5" s="2258"/>
      <c r="U5" s="2257"/>
      <c r="V5" s="2258"/>
      <c r="W5" s="1445">
        <v>17</v>
      </c>
      <c r="X5" s="1460">
        <v>18</v>
      </c>
      <c r="Y5" s="1445">
        <v>19</v>
      </c>
      <c r="Z5" s="1445">
        <v>20</v>
      </c>
      <c r="AA5" s="1445">
        <v>21</v>
      </c>
      <c r="AB5" s="1445">
        <v>22</v>
      </c>
      <c r="AC5" s="1459">
        <v>23</v>
      </c>
      <c r="AD5" s="1445">
        <v>24</v>
      </c>
      <c r="AE5" s="1445">
        <v>25</v>
      </c>
      <c r="AF5" s="1445">
        <v>26</v>
      </c>
      <c r="AG5" s="801">
        <v>27</v>
      </c>
      <c r="AH5" s="1445">
        <v>28</v>
      </c>
      <c r="AI5" s="2257"/>
      <c r="AJ5" s="2258"/>
      <c r="AK5" s="2264"/>
      <c r="AL5" s="2265"/>
      <c r="AM5" s="1459">
        <v>29</v>
      </c>
      <c r="AN5" s="1445">
        <v>30</v>
      </c>
      <c r="AO5" s="1459">
        <v>31</v>
      </c>
      <c r="AP5" s="1459">
        <v>32</v>
      </c>
      <c r="AQ5" s="1445">
        <v>33</v>
      </c>
      <c r="AR5" s="1459">
        <v>34</v>
      </c>
      <c r="AS5" s="1445">
        <v>35</v>
      </c>
      <c r="AT5" s="1459">
        <v>36</v>
      </c>
      <c r="AU5" s="1445">
        <v>37</v>
      </c>
      <c r="AV5" s="1445">
        <v>38</v>
      </c>
      <c r="AW5" s="1445">
        <v>39</v>
      </c>
      <c r="AX5" s="1368">
        <v>40</v>
      </c>
      <c r="AY5" s="1445">
        <v>41</v>
      </c>
      <c r="AZ5" s="2257"/>
      <c r="BA5" s="2258"/>
      <c r="BB5" s="2257"/>
      <c r="BC5" s="2258"/>
      <c r="BD5" s="818">
        <v>42</v>
      </c>
      <c r="BE5" s="1459">
        <v>43</v>
      </c>
      <c r="BF5" s="909">
        <v>44</v>
      </c>
      <c r="BG5" s="1459">
        <v>45</v>
      </c>
      <c r="BH5" s="818">
        <v>46</v>
      </c>
      <c r="BI5" s="1459">
        <v>47</v>
      </c>
      <c r="BJ5" s="818">
        <v>48</v>
      </c>
      <c r="BK5" s="1459">
        <v>49</v>
      </c>
      <c r="BL5" s="1445">
        <v>50</v>
      </c>
      <c r="BM5" s="2257"/>
      <c r="BN5" s="2258"/>
    </row>
    <row r="6" spans="1:66" s="1444" customFormat="1" ht="11.45" customHeight="1">
      <c r="A6" s="2267" t="s">
        <v>26</v>
      </c>
      <c r="B6" s="2267"/>
      <c r="C6" s="819">
        <v>3</v>
      </c>
      <c r="D6" s="819">
        <v>2.6</v>
      </c>
      <c r="E6" s="819">
        <v>2.75</v>
      </c>
      <c r="F6" s="819" t="s">
        <v>1602</v>
      </c>
      <c r="G6" s="819" t="s">
        <v>2490</v>
      </c>
      <c r="H6" s="819">
        <v>4</v>
      </c>
      <c r="I6" s="819">
        <v>3.5</v>
      </c>
      <c r="J6" s="819">
        <v>3</v>
      </c>
      <c r="K6" s="819" t="s">
        <v>1602</v>
      </c>
      <c r="L6" s="850" t="s">
        <v>2664</v>
      </c>
      <c r="M6" s="819">
        <v>2.75</v>
      </c>
      <c r="N6" s="819">
        <v>2.5</v>
      </c>
      <c r="O6" s="819">
        <v>2</v>
      </c>
      <c r="P6" s="819">
        <v>2</v>
      </c>
      <c r="Q6" s="819" t="s">
        <v>2492</v>
      </c>
      <c r="R6" s="819">
        <v>2</v>
      </c>
      <c r="S6" s="2267" t="s">
        <v>26</v>
      </c>
      <c r="T6" s="2267"/>
      <c r="U6" s="2241" t="s">
        <v>26</v>
      </c>
      <c r="V6" s="2241"/>
      <c r="W6" s="850">
        <v>2</v>
      </c>
      <c r="X6" s="850">
        <v>2</v>
      </c>
      <c r="Y6" s="819">
        <v>3.5</v>
      </c>
      <c r="Z6" s="819" t="s">
        <v>2493</v>
      </c>
      <c r="AA6" s="819" t="s">
        <v>2494</v>
      </c>
      <c r="AB6" s="819" t="s">
        <v>2615</v>
      </c>
      <c r="AC6" s="819" t="s">
        <v>2496</v>
      </c>
      <c r="AD6" s="819" t="s">
        <v>2132</v>
      </c>
      <c r="AE6" s="819" t="s">
        <v>2560</v>
      </c>
      <c r="AF6" s="819" t="s">
        <v>2495</v>
      </c>
      <c r="AG6" s="819">
        <v>4</v>
      </c>
      <c r="AH6" s="819" t="s">
        <v>2626</v>
      </c>
      <c r="AI6" s="2241" t="s">
        <v>26</v>
      </c>
      <c r="AJ6" s="2241"/>
      <c r="AK6" s="2241" t="s">
        <v>26</v>
      </c>
      <c r="AL6" s="2241"/>
      <c r="AM6" s="819" t="s">
        <v>2499</v>
      </c>
      <c r="AN6" s="819" t="s">
        <v>1602</v>
      </c>
      <c r="AO6" s="819" t="s">
        <v>2587</v>
      </c>
      <c r="AP6" s="850">
        <v>2.5</v>
      </c>
      <c r="AQ6" s="819" t="s">
        <v>2500</v>
      </c>
      <c r="AR6" s="819" t="s">
        <v>2501</v>
      </c>
      <c r="AS6" s="850" t="s">
        <v>2491</v>
      </c>
      <c r="AT6" s="819">
        <v>2.5</v>
      </c>
      <c r="AU6" s="819" t="s">
        <v>2679</v>
      </c>
      <c r="AV6" s="819">
        <v>2</v>
      </c>
      <c r="AW6" s="819" t="s">
        <v>2503</v>
      </c>
      <c r="AX6" s="819" t="s">
        <v>2504</v>
      </c>
      <c r="AY6" s="819" t="s">
        <v>2505</v>
      </c>
      <c r="AZ6" s="2241" t="s">
        <v>26</v>
      </c>
      <c r="BA6" s="2241"/>
      <c r="BB6" s="2241" t="s">
        <v>26</v>
      </c>
      <c r="BC6" s="2241"/>
      <c r="BD6" s="819">
        <v>3</v>
      </c>
      <c r="BE6" s="819" t="s">
        <v>2636</v>
      </c>
      <c r="BF6" s="819" t="s">
        <v>2121</v>
      </c>
      <c r="BG6" s="819">
        <v>2.5</v>
      </c>
      <c r="BH6" s="819">
        <v>4.5</v>
      </c>
      <c r="BI6" s="819">
        <v>0.45</v>
      </c>
      <c r="BJ6" s="819" t="s">
        <v>2508</v>
      </c>
      <c r="BK6" s="819" t="s">
        <v>2697</v>
      </c>
      <c r="BL6" s="819">
        <v>6</v>
      </c>
      <c r="BM6" s="2241" t="s">
        <v>26</v>
      </c>
      <c r="BN6" s="2241"/>
    </row>
    <row r="7" spans="1:66" ht="11.45" customHeight="1">
      <c r="A7" s="2242" t="s">
        <v>893</v>
      </c>
      <c r="B7" s="2243"/>
      <c r="C7" s="782"/>
      <c r="D7" s="782"/>
      <c r="E7" s="782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2242" t="s">
        <v>893</v>
      </c>
      <c r="T7" s="2242"/>
      <c r="U7" s="2242" t="s">
        <v>893</v>
      </c>
      <c r="V7" s="2243"/>
      <c r="W7" s="759"/>
      <c r="X7" s="757"/>
      <c r="Y7" s="757"/>
      <c r="Z7" s="757"/>
      <c r="AA7" s="757"/>
      <c r="AB7" s="757"/>
      <c r="AC7" s="757"/>
      <c r="AD7" s="757"/>
      <c r="AE7" s="757"/>
      <c r="AF7" s="757"/>
      <c r="AG7" s="757"/>
      <c r="AH7" s="757" t="s">
        <v>1313</v>
      </c>
      <c r="AI7" s="2242" t="s">
        <v>893</v>
      </c>
      <c r="AJ7" s="2243"/>
      <c r="AK7" s="2242" t="s">
        <v>893</v>
      </c>
      <c r="AL7" s="2243"/>
      <c r="AM7" s="757"/>
      <c r="AN7" s="757"/>
      <c r="AO7" s="757"/>
      <c r="AP7" s="757"/>
      <c r="AQ7" s="757"/>
      <c r="AR7" s="757"/>
      <c r="AS7" s="757"/>
      <c r="AT7" s="757"/>
      <c r="AU7" s="757"/>
      <c r="AV7" s="757"/>
      <c r="AW7" s="757"/>
      <c r="AX7" s="757"/>
      <c r="AY7" s="757"/>
      <c r="AZ7" s="2242" t="s">
        <v>893</v>
      </c>
      <c r="BA7" s="2243"/>
      <c r="BB7" s="2242" t="s">
        <v>893</v>
      </c>
      <c r="BC7" s="2243"/>
      <c r="BD7" s="759"/>
      <c r="BE7" s="759"/>
      <c r="BF7" s="757"/>
      <c r="BG7" s="757"/>
      <c r="BH7" s="757"/>
      <c r="BI7" s="757"/>
      <c r="BJ7" s="757"/>
      <c r="BK7" s="757"/>
      <c r="BL7" s="757"/>
      <c r="BM7" s="2242" t="s">
        <v>893</v>
      </c>
      <c r="BN7" s="2243"/>
    </row>
    <row r="8" spans="1:66" ht="11.45" customHeight="1">
      <c r="A8" s="820" t="s">
        <v>332</v>
      </c>
      <c r="B8" s="821" t="s">
        <v>884</v>
      </c>
      <c r="C8" s="819">
        <v>2.25</v>
      </c>
      <c r="D8" s="819">
        <v>2.88</v>
      </c>
      <c r="E8" s="819">
        <v>2.75</v>
      </c>
      <c r="F8" s="819">
        <v>2.5</v>
      </c>
      <c r="G8" s="819">
        <v>3.5</v>
      </c>
      <c r="H8" s="819">
        <v>2.75</v>
      </c>
      <c r="I8" s="819">
        <v>3.5</v>
      </c>
      <c r="J8" s="819">
        <v>3</v>
      </c>
      <c r="K8" s="819" t="s">
        <v>52</v>
      </c>
      <c r="L8" s="819">
        <v>2.57</v>
      </c>
      <c r="M8" s="819">
        <v>1.75</v>
      </c>
      <c r="N8" s="819">
        <v>1.25</v>
      </c>
      <c r="O8" s="819">
        <v>2</v>
      </c>
      <c r="P8" s="819">
        <v>2</v>
      </c>
      <c r="Q8" s="819">
        <v>2.25</v>
      </c>
      <c r="R8" s="819">
        <v>2.78</v>
      </c>
      <c r="S8" s="1469" t="s">
        <v>332</v>
      </c>
      <c r="T8" s="821" t="s">
        <v>2457</v>
      </c>
      <c r="U8" s="820" t="s">
        <v>332</v>
      </c>
      <c r="V8" s="821" t="s">
        <v>884</v>
      </c>
      <c r="W8" s="756" t="s">
        <v>1667</v>
      </c>
      <c r="X8" s="851">
        <v>2</v>
      </c>
      <c r="Y8" s="756">
        <v>2</v>
      </c>
      <c r="Z8" s="756">
        <v>1.5</v>
      </c>
      <c r="AA8" s="756">
        <v>2.5</v>
      </c>
      <c r="AB8" s="756">
        <v>0.5</v>
      </c>
      <c r="AC8" s="756">
        <v>1</v>
      </c>
      <c r="AD8" s="756">
        <v>2</v>
      </c>
      <c r="AE8" s="756">
        <v>2.5</v>
      </c>
      <c r="AF8" s="756">
        <v>3.5</v>
      </c>
      <c r="AG8" s="756">
        <v>1</v>
      </c>
      <c r="AH8" s="756">
        <v>2</v>
      </c>
      <c r="AI8" s="820" t="s">
        <v>332</v>
      </c>
      <c r="AJ8" s="821" t="s">
        <v>884</v>
      </c>
      <c r="AK8" s="820" t="s">
        <v>332</v>
      </c>
      <c r="AL8" s="821" t="s">
        <v>884</v>
      </c>
      <c r="AM8" s="756">
        <v>2</v>
      </c>
      <c r="AN8" s="756">
        <v>1</v>
      </c>
      <c r="AO8" s="756">
        <v>0.25</v>
      </c>
      <c r="AP8" s="756">
        <v>3</v>
      </c>
      <c r="AQ8" s="756">
        <v>2.5</v>
      </c>
      <c r="AR8" s="756">
        <v>3</v>
      </c>
      <c r="AS8" s="756">
        <v>2</v>
      </c>
      <c r="AT8" s="756">
        <v>1.25</v>
      </c>
      <c r="AU8" s="756">
        <v>2.62</v>
      </c>
      <c r="AV8" s="756">
        <v>1</v>
      </c>
      <c r="AW8" s="756">
        <v>2</v>
      </c>
      <c r="AX8" s="756">
        <v>2</v>
      </c>
      <c r="AY8" s="756">
        <v>2.5</v>
      </c>
      <c r="AZ8" s="820" t="s">
        <v>332</v>
      </c>
      <c r="BA8" s="821" t="s">
        <v>884</v>
      </c>
      <c r="BB8" s="820" t="s">
        <v>332</v>
      </c>
      <c r="BC8" s="821" t="s">
        <v>884</v>
      </c>
      <c r="BD8" s="756">
        <v>1</v>
      </c>
      <c r="BE8" s="851">
        <v>0.05</v>
      </c>
      <c r="BF8" s="756" t="s">
        <v>1667</v>
      </c>
      <c r="BG8" s="756">
        <v>2.5</v>
      </c>
      <c r="BH8" s="756">
        <v>0.2</v>
      </c>
      <c r="BI8" s="756">
        <v>0.05</v>
      </c>
      <c r="BJ8" s="756">
        <v>0.5</v>
      </c>
      <c r="BK8" s="851">
        <v>0.05</v>
      </c>
      <c r="BL8" s="756">
        <v>0.5</v>
      </c>
      <c r="BM8" s="820" t="s">
        <v>332</v>
      </c>
      <c r="BN8" s="821" t="s">
        <v>884</v>
      </c>
    </row>
    <row r="9" spans="1:66" ht="11.45" customHeight="1">
      <c r="A9" s="822" t="s">
        <v>517</v>
      </c>
      <c r="B9" s="823" t="s">
        <v>885</v>
      </c>
      <c r="C9" s="782">
        <v>2.5</v>
      </c>
      <c r="D9" s="782">
        <v>3</v>
      </c>
      <c r="E9" s="782">
        <v>3</v>
      </c>
      <c r="F9" s="757">
        <v>3</v>
      </c>
      <c r="G9" s="757">
        <v>3.5</v>
      </c>
      <c r="H9" s="757">
        <v>3</v>
      </c>
      <c r="I9" s="757">
        <v>3.5</v>
      </c>
      <c r="J9" s="757">
        <v>3</v>
      </c>
      <c r="K9" s="757" t="s">
        <v>52</v>
      </c>
      <c r="L9" s="757">
        <v>2.57</v>
      </c>
      <c r="M9" s="757">
        <v>2</v>
      </c>
      <c r="N9" s="757">
        <v>1.75</v>
      </c>
      <c r="O9" s="757">
        <v>2</v>
      </c>
      <c r="P9" s="757">
        <v>2</v>
      </c>
      <c r="Q9" s="757">
        <v>2.75</v>
      </c>
      <c r="R9" s="757">
        <v>2.9</v>
      </c>
      <c r="S9" s="1470" t="s">
        <v>517</v>
      </c>
      <c r="T9" s="823" t="s">
        <v>2458</v>
      </c>
      <c r="U9" s="822" t="s">
        <v>517</v>
      </c>
      <c r="V9" s="823" t="s">
        <v>885</v>
      </c>
      <c r="W9" s="757" t="s">
        <v>1666</v>
      </c>
      <c r="X9" s="757">
        <v>2</v>
      </c>
      <c r="Y9" s="757">
        <v>2.25</v>
      </c>
      <c r="Z9" s="757">
        <v>1.75</v>
      </c>
      <c r="AA9" s="757">
        <v>3</v>
      </c>
      <c r="AB9" s="757">
        <v>1</v>
      </c>
      <c r="AC9" s="757">
        <v>2</v>
      </c>
      <c r="AD9" s="757">
        <v>2</v>
      </c>
      <c r="AE9" s="757">
        <v>2.5</v>
      </c>
      <c r="AF9" s="757">
        <v>4</v>
      </c>
      <c r="AG9" s="757">
        <v>1.5</v>
      </c>
      <c r="AH9" s="757">
        <v>3.25</v>
      </c>
      <c r="AI9" s="822" t="s">
        <v>517</v>
      </c>
      <c r="AJ9" s="823" t="s">
        <v>885</v>
      </c>
      <c r="AK9" s="822" t="s">
        <v>517</v>
      </c>
      <c r="AL9" s="823" t="s">
        <v>885</v>
      </c>
      <c r="AM9" s="757">
        <v>2.5</v>
      </c>
      <c r="AN9" s="757">
        <v>1</v>
      </c>
      <c r="AO9" s="757">
        <v>0.75</v>
      </c>
      <c r="AP9" s="757">
        <v>3.25</v>
      </c>
      <c r="AQ9" s="757">
        <v>3.25</v>
      </c>
      <c r="AR9" s="757">
        <v>3</v>
      </c>
      <c r="AS9" s="757">
        <v>2.25</v>
      </c>
      <c r="AT9" s="757">
        <v>1.5</v>
      </c>
      <c r="AU9" s="757">
        <v>2.62</v>
      </c>
      <c r="AV9" s="757">
        <v>2</v>
      </c>
      <c r="AW9" s="757">
        <v>2</v>
      </c>
      <c r="AX9" s="757">
        <v>2.25</v>
      </c>
      <c r="AY9" s="757">
        <v>2.5</v>
      </c>
      <c r="AZ9" s="822" t="s">
        <v>517</v>
      </c>
      <c r="BA9" s="823" t="s">
        <v>885</v>
      </c>
      <c r="BB9" s="822" t="s">
        <v>517</v>
      </c>
      <c r="BC9" s="823" t="s">
        <v>885</v>
      </c>
      <c r="BD9" s="757">
        <v>1</v>
      </c>
      <c r="BE9" s="757">
        <v>0.05</v>
      </c>
      <c r="BF9" s="757">
        <v>4</v>
      </c>
      <c r="BG9" s="757">
        <v>3.5</v>
      </c>
      <c r="BH9" s="757">
        <v>0.3</v>
      </c>
      <c r="BI9" s="757">
        <v>0.05</v>
      </c>
      <c r="BJ9" s="757">
        <v>0.5</v>
      </c>
      <c r="BK9" s="757">
        <v>0.05</v>
      </c>
      <c r="BL9" s="757">
        <v>5</v>
      </c>
      <c r="BM9" s="822" t="s">
        <v>517</v>
      </c>
      <c r="BN9" s="823" t="s">
        <v>885</v>
      </c>
    </row>
    <row r="10" spans="1:66" ht="11.45" customHeight="1">
      <c r="A10" s="820" t="s">
        <v>309</v>
      </c>
      <c r="B10" s="821" t="s">
        <v>886</v>
      </c>
      <c r="C10" s="819">
        <v>2.75</v>
      </c>
      <c r="D10" s="819">
        <v>3.25</v>
      </c>
      <c r="E10" s="819">
        <v>3.25</v>
      </c>
      <c r="F10" s="756">
        <v>3.25</v>
      </c>
      <c r="G10" s="756">
        <v>3.5</v>
      </c>
      <c r="H10" s="756">
        <v>3.25</v>
      </c>
      <c r="I10" s="756">
        <v>3.5</v>
      </c>
      <c r="J10" s="756">
        <v>3</v>
      </c>
      <c r="K10" s="756" t="s">
        <v>52</v>
      </c>
      <c r="L10" s="756">
        <v>2.57</v>
      </c>
      <c r="M10" s="756">
        <v>2.25</v>
      </c>
      <c r="N10" s="756">
        <v>2.38</v>
      </c>
      <c r="O10" s="756">
        <v>2.5</v>
      </c>
      <c r="P10" s="756">
        <v>3</v>
      </c>
      <c r="Q10" s="756">
        <v>3.25</v>
      </c>
      <c r="R10" s="756">
        <v>3.51</v>
      </c>
      <c r="S10" s="1471" t="s">
        <v>309</v>
      </c>
      <c r="T10" s="821" t="s">
        <v>2459</v>
      </c>
      <c r="U10" s="820" t="s">
        <v>309</v>
      </c>
      <c r="V10" s="821" t="s">
        <v>886</v>
      </c>
      <c r="W10" s="756">
        <v>2</v>
      </c>
      <c r="X10" s="851">
        <v>2</v>
      </c>
      <c r="Y10" s="756">
        <v>2.5</v>
      </c>
      <c r="Z10" s="756">
        <v>2</v>
      </c>
      <c r="AA10" s="756" t="s">
        <v>1665</v>
      </c>
      <c r="AB10" s="756">
        <v>2</v>
      </c>
      <c r="AC10" s="756">
        <v>2.5</v>
      </c>
      <c r="AD10" s="756">
        <v>2</v>
      </c>
      <c r="AE10" s="756">
        <v>2.5</v>
      </c>
      <c r="AF10" s="756">
        <v>8</v>
      </c>
      <c r="AG10" s="756">
        <v>2.5</v>
      </c>
      <c r="AH10" s="756">
        <v>2.75</v>
      </c>
      <c r="AI10" s="820" t="s">
        <v>309</v>
      </c>
      <c r="AJ10" s="821" t="s">
        <v>886</v>
      </c>
      <c r="AK10" s="820" t="s">
        <v>309</v>
      </c>
      <c r="AL10" s="821" t="s">
        <v>886</v>
      </c>
      <c r="AM10" s="756">
        <v>2.75</v>
      </c>
      <c r="AN10" s="756">
        <v>1</v>
      </c>
      <c r="AO10" s="756">
        <v>1.25</v>
      </c>
      <c r="AP10" s="756">
        <v>3.25</v>
      </c>
      <c r="AQ10" s="756">
        <v>3.25</v>
      </c>
      <c r="AR10" s="756">
        <v>3.5</v>
      </c>
      <c r="AS10" s="756">
        <v>2.5</v>
      </c>
      <c r="AT10" s="756">
        <v>1.75</v>
      </c>
      <c r="AU10" s="756">
        <v>2.87</v>
      </c>
      <c r="AV10" s="756">
        <v>3</v>
      </c>
      <c r="AW10" s="756">
        <v>2</v>
      </c>
      <c r="AX10" s="756">
        <v>2.5</v>
      </c>
      <c r="AY10" s="756">
        <v>2.5</v>
      </c>
      <c r="AZ10" s="820" t="s">
        <v>309</v>
      </c>
      <c r="BA10" s="821" t="s">
        <v>886</v>
      </c>
      <c r="BB10" s="820" t="s">
        <v>309</v>
      </c>
      <c r="BC10" s="821" t="s">
        <v>886</v>
      </c>
      <c r="BD10" s="756">
        <v>1.25</v>
      </c>
      <c r="BE10" s="851">
        <v>0.1</v>
      </c>
      <c r="BF10" s="756">
        <v>4</v>
      </c>
      <c r="BG10" s="756">
        <v>3.5</v>
      </c>
      <c r="BH10" s="756">
        <v>0.4</v>
      </c>
      <c r="BI10" s="756">
        <v>0.05</v>
      </c>
      <c r="BJ10" s="756">
        <v>0.5</v>
      </c>
      <c r="BK10" s="851">
        <v>0.1</v>
      </c>
      <c r="BL10" s="756">
        <v>6</v>
      </c>
      <c r="BM10" s="820" t="s">
        <v>309</v>
      </c>
      <c r="BN10" s="821" t="s">
        <v>886</v>
      </c>
    </row>
    <row r="11" spans="1:66" ht="11.45" customHeight="1">
      <c r="A11" s="822" t="s">
        <v>310</v>
      </c>
      <c r="B11" s="823" t="s">
        <v>887</v>
      </c>
      <c r="C11" s="782">
        <v>3</v>
      </c>
      <c r="D11" s="782">
        <v>3.5</v>
      </c>
      <c r="E11" s="782">
        <v>3.5</v>
      </c>
      <c r="F11" s="757">
        <v>3.5</v>
      </c>
      <c r="G11" s="757">
        <v>3.5</v>
      </c>
      <c r="H11" s="757">
        <v>3.5</v>
      </c>
      <c r="I11" s="757">
        <v>3.5</v>
      </c>
      <c r="J11" s="757">
        <v>3</v>
      </c>
      <c r="K11" s="757" t="s">
        <v>52</v>
      </c>
      <c r="L11" s="757">
        <v>2.57</v>
      </c>
      <c r="M11" s="757">
        <v>2.5</v>
      </c>
      <c r="N11" s="757">
        <v>2.75</v>
      </c>
      <c r="O11" s="757">
        <v>3</v>
      </c>
      <c r="P11" s="757">
        <v>3</v>
      </c>
      <c r="Q11" s="757">
        <v>3.75</v>
      </c>
      <c r="R11" s="757">
        <v>4</v>
      </c>
      <c r="S11" s="1470" t="s">
        <v>310</v>
      </c>
      <c r="T11" s="823" t="s">
        <v>887</v>
      </c>
      <c r="U11" s="822" t="s">
        <v>310</v>
      </c>
      <c r="V11" s="823" t="s">
        <v>887</v>
      </c>
      <c r="W11" s="757">
        <v>2</v>
      </c>
      <c r="X11" s="757">
        <v>2</v>
      </c>
      <c r="Y11" s="757">
        <v>2.75</v>
      </c>
      <c r="Z11" s="757">
        <v>2.25</v>
      </c>
      <c r="AA11" s="757" t="s">
        <v>1665</v>
      </c>
      <c r="AB11" s="757">
        <v>2</v>
      </c>
      <c r="AC11" s="757">
        <v>2.5</v>
      </c>
      <c r="AD11" s="757">
        <v>2</v>
      </c>
      <c r="AE11" s="757">
        <v>2.5</v>
      </c>
      <c r="AF11" s="757">
        <v>8</v>
      </c>
      <c r="AG11" s="757">
        <v>3</v>
      </c>
      <c r="AH11" s="757">
        <v>3</v>
      </c>
      <c r="AI11" s="822" t="s">
        <v>310</v>
      </c>
      <c r="AJ11" s="823" t="s">
        <v>887</v>
      </c>
      <c r="AK11" s="822" t="s">
        <v>310</v>
      </c>
      <c r="AL11" s="823" t="s">
        <v>887</v>
      </c>
      <c r="AM11" s="757">
        <v>3</v>
      </c>
      <c r="AN11" s="757">
        <v>2</v>
      </c>
      <c r="AO11" s="757">
        <v>1.5</v>
      </c>
      <c r="AP11" s="757">
        <v>3.25</v>
      </c>
      <c r="AQ11" s="757">
        <v>4</v>
      </c>
      <c r="AR11" s="757">
        <v>4</v>
      </c>
      <c r="AS11" s="757">
        <v>2.75</v>
      </c>
      <c r="AT11" s="757">
        <v>2</v>
      </c>
      <c r="AU11" s="757">
        <v>2.87</v>
      </c>
      <c r="AV11" s="757">
        <v>4.5</v>
      </c>
      <c r="AW11" s="757">
        <v>2</v>
      </c>
      <c r="AX11" s="757">
        <v>2.75</v>
      </c>
      <c r="AY11" s="757">
        <v>2.75</v>
      </c>
      <c r="AZ11" s="822" t="s">
        <v>310</v>
      </c>
      <c r="BA11" s="823" t="s">
        <v>887</v>
      </c>
      <c r="BB11" s="822" t="s">
        <v>310</v>
      </c>
      <c r="BC11" s="823" t="s">
        <v>887</v>
      </c>
      <c r="BD11" s="757">
        <v>1.5</v>
      </c>
      <c r="BE11" s="757">
        <v>0.3</v>
      </c>
      <c r="BF11" s="757">
        <v>4</v>
      </c>
      <c r="BG11" s="757">
        <v>3.5</v>
      </c>
      <c r="BH11" s="757">
        <v>0.5</v>
      </c>
      <c r="BI11" s="757">
        <v>0.05</v>
      </c>
      <c r="BJ11" s="757">
        <v>0.5</v>
      </c>
      <c r="BK11" s="757">
        <v>0.3</v>
      </c>
      <c r="BL11" s="757">
        <v>6</v>
      </c>
      <c r="BM11" s="822" t="s">
        <v>310</v>
      </c>
      <c r="BN11" s="823" t="s">
        <v>887</v>
      </c>
    </row>
    <row r="12" spans="1:66" ht="11.45" customHeight="1">
      <c r="A12" s="820" t="s">
        <v>330</v>
      </c>
      <c r="B12" s="821" t="s">
        <v>1421</v>
      </c>
      <c r="C12" s="819">
        <v>3.25</v>
      </c>
      <c r="D12" s="819">
        <v>3.75</v>
      </c>
      <c r="E12" s="819">
        <v>4</v>
      </c>
      <c r="F12" s="756">
        <v>4</v>
      </c>
      <c r="G12" s="756">
        <v>3.5</v>
      </c>
      <c r="H12" s="756">
        <v>3.75</v>
      </c>
      <c r="I12" s="756">
        <v>3.5</v>
      </c>
      <c r="J12" s="756">
        <v>3</v>
      </c>
      <c r="K12" s="756" t="s">
        <v>52</v>
      </c>
      <c r="L12" s="756">
        <v>2.57</v>
      </c>
      <c r="M12" s="756">
        <v>2.75</v>
      </c>
      <c r="N12" s="756">
        <v>3</v>
      </c>
      <c r="O12" s="756">
        <v>3.5</v>
      </c>
      <c r="P12" s="756">
        <v>3</v>
      </c>
      <c r="Q12" s="756">
        <v>4.25</v>
      </c>
      <c r="R12" s="756">
        <v>4.53</v>
      </c>
      <c r="S12" s="1471" t="s">
        <v>330</v>
      </c>
      <c r="T12" s="821" t="s">
        <v>1421</v>
      </c>
      <c r="U12" s="820" t="s">
        <v>330</v>
      </c>
      <c r="V12" s="821" t="s">
        <v>1421</v>
      </c>
      <c r="W12" s="756">
        <v>2</v>
      </c>
      <c r="X12" s="851">
        <v>2</v>
      </c>
      <c r="Y12" s="756">
        <v>3</v>
      </c>
      <c r="Z12" s="756">
        <v>2.5</v>
      </c>
      <c r="AA12" s="756" t="s">
        <v>1665</v>
      </c>
      <c r="AB12" s="756">
        <v>3.15</v>
      </c>
      <c r="AC12" s="756">
        <v>2.5</v>
      </c>
      <c r="AD12" s="756">
        <v>3</v>
      </c>
      <c r="AE12" s="756">
        <v>2.5</v>
      </c>
      <c r="AF12" s="756">
        <v>8</v>
      </c>
      <c r="AG12" s="756">
        <v>3.5</v>
      </c>
      <c r="AH12" s="756">
        <v>3.5</v>
      </c>
      <c r="AI12" s="820" t="s">
        <v>330</v>
      </c>
      <c r="AJ12" s="821" t="s">
        <v>1421</v>
      </c>
      <c r="AK12" s="820" t="s">
        <v>330</v>
      </c>
      <c r="AL12" s="821" t="s">
        <v>1421</v>
      </c>
      <c r="AM12" s="756">
        <v>3.5</v>
      </c>
      <c r="AN12" s="756">
        <v>2</v>
      </c>
      <c r="AO12" s="756">
        <v>2</v>
      </c>
      <c r="AP12" s="851">
        <v>3.5</v>
      </c>
      <c r="AQ12" s="756">
        <v>4.25</v>
      </c>
      <c r="AR12" s="756">
        <v>4</v>
      </c>
      <c r="AS12" s="756">
        <v>6</v>
      </c>
      <c r="AT12" s="756">
        <v>2.5</v>
      </c>
      <c r="AU12" s="756">
        <v>2.87</v>
      </c>
      <c r="AV12" s="756">
        <v>7.08</v>
      </c>
      <c r="AW12" s="756">
        <v>2</v>
      </c>
      <c r="AX12" s="756">
        <v>3</v>
      </c>
      <c r="AY12" s="756">
        <v>3</v>
      </c>
      <c r="AZ12" s="820" t="s">
        <v>330</v>
      </c>
      <c r="BA12" s="821" t="s">
        <v>1421</v>
      </c>
      <c r="BB12" s="820" t="s">
        <v>330</v>
      </c>
      <c r="BC12" s="821" t="s">
        <v>1421</v>
      </c>
      <c r="BD12" s="756">
        <v>2.5</v>
      </c>
      <c r="BE12" s="851">
        <v>0.45</v>
      </c>
      <c r="BF12" s="756">
        <v>4</v>
      </c>
      <c r="BG12" s="756">
        <v>3</v>
      </c>
      <c r="BH12" s="756">
        <v>1</v>
      </c>
      <c r="BI12" s="756">
        <v>0.4</v>
      </c>
      <c r="BJ12" s="756">
        <v>0.5</v>
      </c>
      <c r="BK12" s="851">
        <v>0.45</v>
      </c>
      <c r="BL12" s="756">
        <v>6</v>
      </c>
      <c r="BM12" s="820" t="s">
        <v>330</v>
      </c>
      <c r="BN12" s="821" t="s">
        <v>1421</v>
      </c>
    </row>
    <row r="13" spans="1:66" ht="11.45" customHeight="1">
      <c r="A13" s="2244" t="s">
        <v>27</v>
      </c>
      <c r="B13" s="2244"/>
      <c r="C13" s="824"/>
      <c r="D13" s="824"/>
      <c r="E13" s="824"/>
      <c r="F13" s="824"/>
      <c r="G13" s="824"/>
      <c r="H13" s="824"/>
      <c r="I13" s="824"/>
      <c r="J13" s="824"/>
      <c r="K13" s="824"/>
      <c r="L13" s="825"/>
      <c r="M13" s="824"/>
      <c r="N13" s="824"/>
      <c r="O13" s="824"/>
      <c r="P13" s="824"/>
      <c r="Q13" s="824"/>
      <c r="R13" s="824"/>
      <c r="S13" s="2244" t="s">
        <v>27</v>
      </c>
      <c r="T13" s="2244"/>
      <c r="U13" s="2244" t="s">
        <v>27</v>
      </c>
      <c r="V13" s="2244"/>
      <c r="W13" s="759"/>
      <c r="X13" s="759"/>
      <c r="Y13" s="759"/>
      <c r="Z13" s="759"/>
      <c r="AA13" s="759"/>
      <c r="AB13" s="759"/>
      <c r="AC13" s="759"/>
      <c r="AD13" s="759"/>
      <c r="AE13" s="759"/>
      <c r="AF13" s="759"/>
      <c r="AG13" s="757"/>
      <c r="AH13" s="759"/>
      <c r="AI13" s="2244" t="s">
        <v>27</v>
      </c>
      <c r="AJ13" s="2244"/>
      <c r="AK13" s="2244" t="s">
        <v>27</v>
      </c>
      <c r="AL13" s="2244"/>
      <c r="AM13" s="759"/>
      <c r="AN13" s="759"/>
      <c r="AO13" s="759"/>
      <c r="AP13" s="759"/>
      <c r="AQ13" s="759"/>
      <c r="AR13" s="759"/>
      <c r="AS13" s="759"/>
      <c r="AT13" s="759"/>
      <c r="AU13" s="759"/>
      <c r="AV13" s="759"/>
      <c r="AW13" s="759"/>
      <c r="AX13" s="759"/>
      <c r="AY13" s="759"/>
      <c r="AZ13" s="2244" t="s">
        <v>27</v>
      </c>
      <c r="BA13" s="2244"/>
      <c r="BB13" s="2244" t="s">
        <v>27</v>
      </c>
      <c r="BC13" s="2244"/>
      <c r="BD13" s="759"/>
      <c r="BE13" s="759"/>
      <c r="BF13" s="759"/>
      <c r="BG13" s="759"/>
      <c r="BH13" s="759"/>
      <c r="BI13" s="759"/>
      <c r="BJ13" s="757"/>
      <c r="BK13" s="757"/>
      <c r="BL13" s="757"/>
      <c r="BM13" s="2244" t="s">
        <v>27</v>
      </c>
      <c r="BN13" s="2244"/>
    </row>
    <row r="14" spans="1:66" ht="11.45" customHeight="1">
      <c r="A14" s="820" t="s">
        <v>332</v>
      </c>
      <c r="B14" s="821" t="s">
        <v>888</v>
      </c>
      <c r="C14" s="819" t="s">
        <v>2662</v>
      </c>
      <c r="D14" s="819">
        <v>6.25</v>
      </c>
      <c r="E14" s="851">
        <v>6.67</v>
      </c>
      <c r="F14" s="756" t="s">
        <v>2569</v>
      </c>
      <c r="G14" s="756" t="s">
        <v>2605</v>
      </c>
      <c r="H14" s="756">
        <v>6.25</v>
      </c>
      <c r="I14" s="756" t="s">
        <v>2606</v>
      </c>
      <c r="J14" s="756" t="s">
        <v>52</v>
      </c>
      <c r="K14" s="756" t="s">
        <v>52</v>
      </c>
      <c r="L14" s="756" t="s">
        <v>2665</v>
      </c>
      <c r="M14" s="756" t="s">
        <v>2669</v>
      </c>
      <c r="N14" s="756" t="s">
        <v>2670</v>
      </c>
      <c r="O14" s="756" t="s">
        <v>2585</v>
      </c>
      <c r="P14" s="851" t="s">
        <v>2635</v>
      </c>
      <c r="Q14" s="851" t="s">
        <v>2609</v>
      </c>
      <c r="R14" s="851" t="s">
        <v>2673</v>
      </c>
      <c r="S14" s="1471" t="s">
        <v>332</v>
      </c>
      <c r="T14" s="821" t="s">
        <v>888</v>
      </c>
      <c r="U14" s="820" t="s">
        <v>332</v>
      </c>
      <c r="V14" s="821" t="s">
        <v>888</v>
      </c>
      <c r="W14" s="756" t="s">
        <v>2611</v>
      </c>
      <c r="X14" s="851" t="s">
        <v>2561</v>
      </c>
      <c r="Y14" s="756" t="s">
        <v>2614</v>
      </c>
      <c r="Z14" s="756" t="s">
        <v>2559</v>
      </c>
      <c r="AA14" s="756">
        <v>6</v>
      </c>
      <c r="AB14" s="756" t="s">
        <v>2616</v>
      </c>
      <c r="AC14" s="756" t="s">
        <v>2619</v>
      </c>
      <c r="AD14" s="756" t="s">
        <v>2495</v>
      </c>
      <c r="AE14" s="756" t="s">
        <v>2624</v>
      </c>
      <c r="AF14" s="756" t="s">
        <v>2625</v>
      </c>
      <c r="AG14" s="756" t="s">
        <v>2675</v>
      </c>
      <c r="AH14" s="756" t="s">
        <v>2561</v>
      </c>
      <c r="AI14" s="820" t="s">
        <v>332</v>
      </c>
      <c r="AJ14" s="821" t="s">
        <v>888</v>
      </c>
      <c r="AK14" s="820" t="s">
        <v>332</v>
      </c>
      <c r="AL14" s="821" t="s">
        <v>888</v>
      </c>
      <c r="AM14" s="756" t="s">
        <v>2677</v>
      </c>
      <c r="AN14" s="756" t="s">
        <v>2628</v>
      </c>
      <c r="AO14" s="758" t="s">
        <v>2612</v>
      </c>
      <c r="AP14" s="756" t="s">
        <v>2632</v>
      </c>
      <c r="AQ14" s="756" t="s">
        <v>2675</v>
      </c>
      <c r="AR14" s="756" t="s">
        <v>2559</v>
      </c>
      <c r="AS14" s="756" t="s">
        <v>2502</v>
      </c>
      <c r="AT14" s="756" t="s">
        <v>2491</v>
      </c>
      <c r="AU14" s="756" t="s">
        <v>2680</v>
      </c>
      <c r="AV14" s="756" t="s">
        <v>2683</v>
      </c>
      <c r="AW14" s="756" t="s">
        <v>2684</v>
      </c>
      <c r="AX14" s="756" t="s">
        <v>2635</v>
      </c>
      <c r="AY14" s="756" t="s">
        <v>2585</v>
      </c>
      <c r="AZ14" s="820" t="s">
        <v>332</v>
      </c>
      <c r="BA14" s="821" t="s">
        <v>888</v>
      </c>
      <c r="BB14" s="820" t="s">
        <v>332</v>
      </c>
      <c r="BC14" s="821" t="s">
        <v>888</v>
      </c>
      <c r="BD14" s="756" t="s">
        <v>2687</v>
      </c>
      <c r="BE14" s="756" t="s">
        <v>2690</v>
      </c>
      <c r="BF14" s="756" t="s">
        <v>2629</v>
      </c>
      <c r="BG14" s="756" t="s">
        <v>2637</v>
      </c>
      <c r="BH14" s="756">
        <v>5.75</v>
      </c>
      <c r="BI14" s="756">
        <v>0.1</v>
      </c>
      <c r="BJ14" s="756" t="s">
        <v>2693</v>
      </c>
      <c r="BK14" s="756" t="s">
        <v>2589</v>
      </c>
      <c r="BL14" s="756" t="s">
        <v>2698</v>
      </c>
      <c r="BM14" s="820" t="s">
        <v>332</v>
      </c>
      <c r="BN14" s="821" t="s">
        <v>888</v>
      </c>
    </row>
    <row r="15" spans="1:66" ht="11.45" customHeight="1">
      <c r="A15" s="822" t="s">
        <v>517</v>
      </c>
      <c r="B15" s="823" t="s">
        <v>889</v>
      </c>
      <c r="C15" s="782" t="s">
        <v>2663</v>
      </c>
      <c r="D15" s="757">
        <v>6.5</v>
      </c>
      <c r="E15" s="757">
        <v>6.7</v>
      </c>
      <c r="F15" s="757">
        <v>6.5</v>
      </c>
      <c r="G15" s="757">
        <v>5.75</v>
      </c>
      <c r="H15" s="757">
        <v>6.5</v>
      </c>
      <c r="I15" s="757" t="s">
        <v>2607</v>
      </c>
      <c r="J15" s="757">
        <v>6</v>
      </c>
      <c r="K15" s="757" t="s">
        <v>52</v>
      </c>
      <c r="L15" s="757" t="s">
        <v>2666</v>
      </c>
      <c r="M15" s="757" t="s">
        <v>2669</v>
      </c>
      <c r="N15" s="757" t="s">
        <v>2671</v>
      </c>
      <c r="O15" s="757" t="s">
        <v>2585</v>
      </c>
      <c r="P15" s="757">
        <v>6.5</v>
      </c>
      <c r="Q15" s="757" t="s">
        <v>2610</v>
      </c>
      <c r="R15" s="757">
        <v>6.53</v>
      </c>
      <c r="S15" s="1470" t="s">
        <v>517</v>
      </c>
      <c r="T15" s="823" t="s">
        <v>889</v>
      </c>
      <c r="U15" s="822" t="s">
        <v>517</v>
      </c>
      <c r="V15" s="823" t="s">
        <v>889</v>
      </c>
      <c r="W15" s="757" t="s">
        <v>2566</v>
      </c>
      <c r="X15" s="757" t="s">
        <v>2612</v>
      </c>
      <c r="Y15" s="757" t="s">
        <v>2614</v>
      </c>
      <c r="Z15" s="757" t="s">
        <v>2559</v>
      </c>
      <c r="AA15" s="757">
        <v>6</v>
      </c>
      <c r="AB15" s="757" t="s">
        <v>2617</v>
      </c>
      <c r="AC15" s="757" t="s">
        <v>2620</v>
      </c>
      <c r="AD15" s="757" t="s">
        <v>2622</v>
      </c>
      <c r="AE15" s="757" t="s">
        <v>2624</v>
      </c>
      <c r="AF15" s="757">
        <v>6.5</v>
      </c>
      <c r="AG15" s="757" t="s">
        <v>2627</v>
      </c>
      <c r="AH15" s="757" t="s">
        <v>2561</v>
      </c>
      <c r="AI15" s="822" t="s">
        <v>517</v>
      </c>
      <c r="AJ15" s="823" t="s">
        <v>889</v>
      </c>
      <c r="AK15" s="822" t="s">
        <v>517</v>
      </c>
      <c r="AL15" s="823" t="s">
        <v>889</v>
      </c>
      <c r="AM15" s="757" t="s">
        <v>2568</v>
      </c>
      <c r="AN15" s="757" t="s">
        <v>2629</v>
      </c>
      <c r="AO15" s="759" t="s">
        <v>1148</v>
      </c>
      <c r="AP15" s="757" t="s">
        <v>2497</v>
      </c>
      <c r="AQ15" s="757" t="s">
        <v>2588</v>
      </c>
      <c r="AR15" s="757" t="s">
        <v>2558</v>
      </c>
      <c r="AS15" s="757" t="s">
        <v>2558</v>
      </c>
      <c r="AT15" s="757" t="s">
        <v>2634</v>
      </c>
      <c r="AU15" s="757" t="s">
        <v>2681</v>
      </c>
      <c r="AV15" s="757" t="s">
        <v>2683</v>
      </c>
      <c r="AW15" s="757" t="s">
        <v>2685</v>
      </c>
      <c r="AX15" s="757" t="s">
        <v>2558</v>
      </c>
      <c r="AY15" s="757" t="s">
        <v>2585</v>
      </c>
      <c r="AZ15" s="822" t="s">
        <v>517</v>
      </c>
      <c r="BA15" s="823" t="s">
        <v>889</v>
      </c>
      <c r="BB15" s="822" t="s">
        <v>517</v>
      </c>
      <c r="BC15" s="823" t="s">
        <v>889</v>
      </c>
      <c r="BD15" s="757" t="s">
        <v>2688</v>
      </c>
      <c r="BE15" s="757" t="s">
        <v>2690</v>
      </c>
      <c r="BF15" s="757" t="s">
        <v>2629</v>
      </c>
      <c r="BG15" s="757" t="s">
        <v>2638</v>
      </c>
      <c r="BH15" s="757">
        <v>5.75</v>
      </c>
      <c r="BI15" s="757">
        <v>0.1</v>
      </c>
      <c r="BJ15" s="757" t="s">
        <v>2694</v>
      </c>
      <c r="BK15" s="757" t="s">
        <v>2570</v>
      </c>
      <c r="BL15" s="757" t="s">
        <v>2639</v>
      </c>
      <c r="BM15" s="822" t="s">
        <v>517</v>
      </c>
      <c r="BN15" s="823" t="s">
        <v>889</v>
      </c>
    </row>
    <row r="16" spans="1:66" ht="11.45" customHeight="1">
      <c r="A16" s="820" t="s">
        <v>309</v>
      </c>
      <c r="B16" s="821" t="s">
        <v>890</v>
      </c>
      <c r="C16" s="819" t="s">
        <v>2604</v>
      </c>
      <c r="D16" s="850">
        <v>6.75</v>
      </c>
      <c r="E16" s="756">
        <v>6.75</v>
      </c>
      <c r="F16" s="756" t="s">
        <v>2583</v>
      </c>
      <c r="G16" s="756">
        <v>6</v>
      </c>
      <c r="H16" s="756">
        <v>6.5</v>
      </c>
      <c r="I16" s="756">
        <v>6</v>
      </c>
      <c r="J16" s="756">
        <v>6.25</v>
      </c>
      <c r="K16" s="756">
        <v>5.5</v>
      </c>
      <c r="L16" s="756" t="s">
        <v>2667</v>
      </c>
      <c r="M16" s="756" t="s">
        <v>2559</v>
      </c>
      <c r="N16" s="756">
        <v>6.5</v>
      </c>
      <c r="O16" s="756" t="s">
        <v>2585</v>
      </c>
      <c r="P16" s="756">
        <v>6.5</v>
      </c>
      <c r="Q16" s="756" t="s">
        <v>2495</v>
      </c>
      <c r="R16" s="756">
        <v>6.53</v>
      </c>
      <c r="S16" s="1471" t="s">
        <v>309</v>
      </c>
      <c r="T16" s="821" t="s">
        <v>890</v>
      </c>
      <c r="U16" s="820" t="s">
        <v>309</v>
      </c>
      <c r="V16" s="821" t="s">
        <v>890</v>
      </c>
      <c r="W16" s="756" t="s">
        <v>2562</v>
      </c>
      <c r="X16" s="851" t="s">
        <v>2613</v>
      </c>
      <c r="Y16" s="756" t="s">
        <v>2608</v>
      </c>
      <c r="Z16" s="756" t="s">
        <v>2586</v>
      </c>
      <c r="AA16" s="756">
        <v>6</v>
      </c>
      <c r="AB16" s="756" t="s">
        <v>2618</v>
      </c>
      <c r="AC16" s="756" t="s">
        <v>2621</v>
      </c>
      <c r="AD16" s="756" t="s">
        <v>2623</v>
      </c>
      <c r="AE16" s="756" t="s">
        <v>2624</v>
      </c>
      <c r="AF16" s="756" t="s">
        <v>2498</v>
      </c>
      <c r="AG16" s="756" t="s">
        <v>2676</v>
      </c>
      <c r="AH16" s="756" t="s">
        <v>2569</v>
      </c>
      <c r="AI16" s="820" t="s">
        <v>309</v>
      </c>
      <c r="AJ16" s="821" t="s">
        <v>890</v>
      </c>
      <c r="AK16" s="820" t="s">
        <v>309</v>
      </c>
      <c r="AL16" s="821" t="s">
        <v>890</v>
      </c>
      <c r="AM16" s="756" t="s">
        <v>2677</v>
      </c>
      <c r="AN16" s="756" t="s">
        <v>2630</v>
      </c>
      <c r="AO16" s="756" t="s">
        <v>2584</v>
      </c>
      <c r="AP16" s="756" t="s">
        <v>2497</v>
      </c>
      <c r="AQ16" s="756" t="s">
        <v>2559</v>
      </c>
      <c r="AR16" s="756" t="s">
        <v>2569</v>
      </c>
      <c r="AS16" s="756" t="s">
        <v>2558</v>
      </c>
      <c r="AT16" s="756" t="s">
        <v>2237</v>
      </c>
      <c r="AU16" s="756" t="s">
        <v>2682</v>
      </c>
      <c r="AV16" s="756" t="s">
        <v>2683</v>
      </c>
      <c r="AW16" s="756" t="s">
        <v>2623</v>
      </c>
      <c r="AX16" s="756" t="s">
        <v>2558</v>
      </c>
      <c r="AY16" s="756" t="s">
        <v>2585</v>
      </c>
      <c r="AZ16" s="820" t="s">
        <v>309</v>
      </c>
      <c r="BA16" s="821" t="s">
        <v>890</v>
      </c>
      <c r="BB16" s="820" t="s">
        <v>309</v>
      </c>
      <c r="BC16" s="821" t="s">
        <v>890</v>
      </c>
      <c r="BD16" s="758" t="s">
        <v>2506</v>
      </c>
      <c r="BE16" s="756" t="s">
        <v>2691</v>
      </c>
      <c r="BF16" s="756" t="s">
        <v>2629</v>
      </c>
      <c r="BG16" s="756" t="s">
        <v>2561</v>
      </c>
      <c r="BH16" s="756">
        <v>5.75</v>
      </c>
      <c r="BI16" s="756">
        <v>0.1</v>
      </c>
      <c r="BJ16" s="756" t="s">
        <v>2695</v>
      </c>
      <c r="BK16" s="756" t="s">
        <v>2571</v>
      </c>
      <c r="BL16" s="756" t="s">
        <v>2640</v>
      </c>
      <c r="BM16" s="820" t="s">
        <v>309</v>
      </c>
      <c r="BN16" s="821" t="s">
        <v>890</v>
      </c>
    </row>
    <row r="17" spans="1:66" ht="11.45" customHeight="1">
      <c r="A17" s="822" t="s">
        <v>310</v>
      </c>
      <c r="B17" s="823" t="s">
        <v>891</v>
      </c>
      <c r="C17" s="782" t="s">
        <v>2604</v>
      </c>
      <c r="D17" s="782">
        <v>6</v>
      </c>
      <c r="E17" s="757" t="s">
        <v>52</v>
      </c>
      <c r="F17" s="757" t="s">
        <v>2583</v>
      </c>
      <c r="G17" s="757">
        <v>6</v>
      </c>
      <c r="H17" s="757" t="s">
        <v>52</v>
      </c>
      <c r="I17" s="757" t="s">
        <v>52</v>
      </c>
      <c r="J17" s="757">
        <v>6.5</v>
      </c>
      <c r="K17" s="757" t="s">
        <v>52</v>
      </c>
      <c r="L17" s="757" t="s">
        <v>2668</v>
      </c>
      <c r="M17" s="757" t="s">
        <v>2567</v>
      </c>
      <c r="N17" s="757" t="s">
        <v>2672</v>
      </c>
      <c r="O17" s="757" t="s">
        <v>2585</v>
      </c>
      <c r="P17" s="757">
        <v>6.5</v>
      </c>
      <c r="Q17" s="757" t="s">
        <v>2495</v>
      </c>
      <c r="R17" s="757">
        <v>6.53</v>
      </c>
      <c r="S17" s="1470" t="s">
        <v>310</v>
      </c>
      <c r="T17" s="823" t="s">
        <v>891</v>
      </c>
      <c r="U17" s="822" t="s">
        <v>310</v>
      </c>
      <c r="V17" s="823" t="s">
        <v>891</v>
      </c>
      <c r="W17" s="757">
        <v>3</v>
      </c>
      <c r="X17" s="757" t="s">
        <v>2613</v>
      </c>
      <c r="Y17" s="757" t="s">
        <v>2608</v>
      </c>
      <c r="Z17" s="757" t="s">
        <v>2559</v>
      </c>
      <c r="AA17" s="757" t="s">
        <v>52</v>
      </c>
      <c r="AB17" s="757" t="s">
        <v>2565</v>
      </c>
      <c r="AC17" s="757" t="s">
        <v>2621</v>
      </c>
      <c r="AD17" s="757" t="s">
        <v>52</v>
      </c>
      <c r="AE17" s="757" t="s">
        <v>2624</v>
      </c>
      <c r="AF17" s="757" t="s">
        <v>52</v>
      </c>
      <c r="AG17" s="757" t="s">
        <v>2676</v>
      </c>
      <c r="AH17" s="757" t="s">
        <v>2569</v>
      </c>
      <c r="AI17" s="822" t="s">
        <v>310</v>
      </c>
      <c r="AJ17" s="823" t="s">
        <v>891</v>
      </c>
      <c r="AK17" s="822" t="s">
        <v>310</v>
      </c>
      <c r="AL17" s="823" t="s">
        <v>891</v>
      </c>
      <c r="AM17" s="757" t="s">
        <v>2678</v>
      </c>
      <c r="AN17" s="757" t="s">
        <v>2630</v>
      </c>
      <c r="AO17" s="757" t="s">
        <v>2631</v>
      </c>
      <c r="AP17" s="757" t="s">
        <v>2633</v>
      </c>
      <c r="AQ17" s="757" t="s">
        <v>52</v>
      </c>
      <c r="AR17" s="757">
        <v>6.5</v>
      </c>
      <c r="AS17" s="757" t="s">
        <v>2558</v>
      </c>
      <c r="AT17" s="757" t="s">
        <v>2237</v>
      </c>
      <c r="AU17" s="757" t="s">
        <v>2682</v>
      </c>
      <c r="AV17" s="757" t="s">
        <v>52</v>
      </c>
      <c r="AW17" s="757" t="s">
        <v>2686</v>
      </c>
      <c r="AX17" s="757" t="s">
        <v>2558</v>
      </c>
      <c r="AY17" s="757" t="s">
        <v>2585</v>
      </c>
      <c r="AZ17" s="822" t="s">
        <v>310</v>
      </c>
      <c r="BA17" s="823" t="s">
        <v>891</v>
      </c>
      <c r="BB17" s="822" t="s">
        <v>310</v>
      </c>
      <c r="BC17" s="823" t="s">
        <v>891</v>
      </c>
      <c r="BD17" s="757" t="s">
        <v>2507</v>
      </c>
      <c r="BE17" s="757" t="s">
        <v>2692</v>
      </c>
      <c r="BF17" s="757" t="s">
        <v>2629</v>
      </c>
      <c r="BG17" s="757" t="s">
        <v>2561</v>
      </c>
      <c r="BH17" s="757">
        <v>6.5</v>
      </c>
      <c r="BI17" s="826" t="s">
        <v>52</v>
      </c>
      <c r="BJ17" s="757" t="s">
        <v>2696</v>
      </c>
      <c r="BK17" s="757" t="s">
        <v>2571</v>
      </c>
      <c r="BL17" s="757">
        <v>6.33</v>
      </c>
      <c r="BM17" s="822" t="s">
        <v>310</v>
      </c>
      <c r="BN17" s="823" t="s">
        <v>891</v>
      </c>
    </row>
    <row r="18" spans="1:66" ht="11.45" customHeight="1">
      <c r="A18" s="820" t="s">
        <v>330</v>
      </c>
      <c r="B18" s="821" t="s">
        <v>892</v>
      </c>
      <c r="C18" s="819" t="s">
        <v>52</v>
      </c>
      <c r="D18" s="819">
        <v>7</v>
      </c>
      <c r="E18" s="756" t="s">
        <v>52</v>
      </c>
      <c r="F18" s="756" t="s">
        <v>2583</v>
      </c>
      <c r="G18" s="756">
        <v>6</v>
      </c>
      <c r="H18" s="756" t="s">
        <v>52</v>
      </c>
      <c r="I18" s="756" t="s">
        <v>52</v>
      </c>
      <c r="J18" s="756" t="s">
        <v>2502</v>
      </c>
      <c r="K18" s="756" t="s">
        <v>52</v>
      </c>
      <c r="L18" s="756" t="s">
        <v>2668</v>
      </c>
      <c r="M18" s="756" t="s">
        <v>2567</v>
      </c>
      <c r="N18" s="756" t="s">
        <v>52</v>
      </c>
      <c r="O18" s="756" t="s">
        <v>2585</v>
      </c>
      <c r="P18" s="756">
        <v>7</v>
      </c>
      <c r="Q18" s="756" t="s">
        <v>2495</v>
      </c>
      <c r="R18" s="858" t="s">
        <v>2674</v>
      </c>
      <c r="S18" s="1471" t="s">
        <v>330</v>
      </c>
      <c r="T18" s="821" t="s">
        <v>892</v>
      </c>
      <c r="U18" s="820" t="s">
        <v>330</v>
      </c>
      <c r="V18" s="821" t="s">
        <v>892</v>
      </c>
      <c r="W18" s="756">
        <v>3</v>
      </c>
      <c r="X18" s="851" t="s">
        <v>2613</v>
      </c>
      <c r="Y18" s="851">
        <v>6.21</v>
      </c>
      <c r="Z18" s="756" t="s">
        <v>52</v>
      </c>
      <c r="AA18" s="756" t="s">
        <v>52</v>
      </c>
      <c r="AB18" s="756" t="s">
        <v>2565</v>
      </c>
      <c r="AC18" s="756" t="s">
        <v>2621</v>
      </c>
      <c r="AD18" s="756" t="s">
        <v>52</v>
      </c>
      <c r="AE18" s="756" t="s">
        <v>2624</v>
      </c>
      <c r="AF18" s="756" t="s">
        <v>52</v>
      </c>
      <c r="AG18" s="756" t="s">
        <v>52</v>
      </c>
      <c r="AH18" s="756" t="s">
        <v>2569</v>
      </c>
      <c r="AI18" s="820" t="s">
        <v>330</v>
      </c>
      <c r="AJ18" s="821" t="s">
        <v>892</v>
      </c>
      <c r="AK18" s="820" t="s">
        <v>330</v>
      </c>
      <c r="AL18" s="821" t="s">
        <v>892</v>
      </c>
      <c r="AM18" s="756" t="s">
        <v>2678</v>
      </c>
      <c r="AN18" s="756" t="s">
        <v>2630</v>
      </c>
      <c r="AO18" s="756" t="s">
        <v>2631</v>
      </c>
      <c r="AP18" s="756" t="s">
        <v>2633</v>
      </c>
      <c r="AQ18" s="756" t="s">
        <v>52</v>
      </c>
      <c r="AR18" s="756" t="s">
        <v>52</v>
      </c>
      <c r="AS18" s="756" t="s">
        <v>2502</v>
      </c>
      <c r="AT18" s="756" t="s">
        <v>2237</v>
      </c>
      <c r="AU18" s="756" t="s">
        <v>2682</v>
      </c>
      <c r="AV18" s="756" t="s">
        <v>52</v>
      </c>
      <c r="AW18" s="756" t="s">
        <v>2686</v>
      </c>
      <c r="AX18" s="756" t="s">
        <v>2558</v>
      </c>
      <c r="AY18" s="756" t="s">
        <v>2585</v>
      </c>
      <c r="AZ18" s="820" t="s">
        <v>330</v>
      </c>
      <c r="BA18" s="821" t="s">
        <v>892</v>
      </c>
      <c r="BB18" s="820" t="s">
        <v>330</v>
      </c>
      <c r="BC18" s="821" t="s">
        <v>892</v>
      </c>
      <c r="BD18" s="758" t="s">
        <v>2689</v>
      </c>
      <c r="BE18" s="756">
        <v>0.03</v>
      </c>
      <c r="BF18" s="756" t="s">
        <v>2629</v>
      </c>
      <c r="BG18" s="756" t="s">
        <v>2558</v>
      </c>
      <c r="BH18" s="756">
        <v>6.5</v>
      </c>
      <c r="BI18" s="827" t="s">
        <v>52</v>
      </c>
      <c r="BJ18" s="756" t="s">
        <v>2696</v>
      </c>
      <c r="BK18" s="756" t="s">
        <v>2571</v>
      </c>
      <c r="BL18" s="756">
        <v>6.33</v>
      </c>
      <c r="BM18" s="820" t="s">
        <v>330</v>
      </c>
      <c r="BN18" s="821" t="s">
        <v>892</v>
      </c>
    </row>
    <row r="19" spans="1:66" ht="11.45" customHeight="1">
      <c r="A19" s="2244" t="s">
        <v>153</v>
      </c>
      <c r="B19" s="2244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757"/>
      <c r="P19" s="759" t="s">
        <v>136</v>
      </c>
      <c r="Q19" s="757"/>
      <c r="R19" s="759"/>
      <c r="S19" s="2244" t="s">
        <v>153</v>
      </c>
      <c r="T19" s="2244"/>
      <c r="U19" s="2244" t="s">
        <v>153</v>
      </c>
      <c r="V19" s="2244"/>
      <c r="W19" s="757"/>
      <c r="X19" s="757"/>
      <c r="Y19" s="757"/>
      <c r="Z19" s="757"/>
      <c r="AA19" s="757"/>
      <c r="AB19" s="757"/>
      <c r="AC19" s="759"/>
      <c r="AD19" s="759"/>
      <c r="AE19" s="759"/>
      <c r="AF19" s="759"/>
      <c r="AG19" s="757"/>
      <c r="AH19" s="759"/>
      <c r="AI19" s="2244" t="s">
        <v>153</v>
      </c>
      <c r="AJ19" s="2244"/>
      <c r="AK19" s="2244" t="s">
        <v>153</v>
      </c>
      <c r="AL19" s="2244"/>
      <c r="AM19" s="759"/>
      <c r="AN19" s="757"/>
      <c r="AO19" s="759"/>
      <c r="AP19" s="757"/>
      <c r="AQ19" s="757"/>
      <c r="AR19" s="757"/>
      <c r="AS19" s="757"/>
      <c r="AT19" s="757"/>
      <c r="AU19" s="757"/>
      <c r="AV19" s="757"/>
      <c r="AW19" s="757"/>
      <c r="AX19" s="757"/>
      <c r="AY19" s="757"/>
      <c r="AZ19" s="2244" t="s">
        <v>153</v>
      </c>
      <c r="BA19" s="2244"/>
      <c r="BB19" s="2244" t="s">
        <v>153</v>
      </c>
      <c r="BC19" s="2244"/>
      <c r="BD19" s="759"/>
      <c r="BE19" s="759"/>
      <c r="BF19" s="759"/>
      <c r="BG19" s="759"/>
      <c r="BH19" s="759"/>
      <c r="BI19" s="759"/>
      <c r="BJ19" s="757"/>
      <c r="BK19" s="757"/>
      <c r="BL19" s="757"/>
      <c r="BM19" s="2244" t="s">
        <v>153</v>
      </c>
      <c r="BN19" s="2244"/>
    </row>
    <row r="20" spans="1:66" ht="11.45" customHeight="1">
      <c r="A20" s="2241" t="s">
        <v>154</v>
      </c>
      <c r="B20" s="2241"/>
      <c r="C20" s="756"/>
      <c r="D20" s="756"/>
      <c r="E20" s="756"/>
      <c r="F20" s="756"/>
      <c r="G20" s="756"/>
      <c r="H20" s="756"/>
      <c r="I20" s="756"/>
      <c r="J20" s="756"/>
      <c r="K20" s="756"/>
      <c r="L20" s="756"/>
      <c r="M20" s="756"/>
      <c r="N20" s="756"/>
      <c r="O20" s="756"/>
      <c r="P20" s="758"/>
      <c r="Q20" s="756"/>
      <c r="R20" s="758"/>
      <c r="S20" s="2241" t="s">
        <v>154</v>
      </c>
      <c r="T20" s="2241"/>
      <c r="U20" s="2241" t="s">
        <v>154</v>
      </c>
      <c r="V20" s="2241"/>
      <c r="W20" s="827"/>
      <c r="X20" s="851"/>
      <c r="Y20" s="756"/>
      <c r="Z20" s="756"/>
      <c r="AA20" s="756"/>
      <c r="AB20" s="756"/>
      <c r="AC20" s="758"/>
      <c r="AD20" s="758"/>
      <c r="AE20" s="758"/>
      <c r="AF20" s="758"/>
      <c r="AG20" s="756"/>
      <c r="AH20" s="758"/>
      <c r="AI20" s="2241" t="s">
        <v>154</v>
      </c>
      <c r="AJ20" s="2241"/>
      <c r="AK20" s="2241" t="s">
        <v>154</v>
      </c>
      <c r="AL20" s="2241"/>
      <c r="AM20" s="758"/>
      <c r="AN20" s="756"/>
      <c r="AO20" s="758"/>
      <c r="AP20" s="756"/>
      <c r="AQ20" s="756"/>
      <c r="AR20" s="756"/>
      <c r="AS20" s="756"/>
      <c r="AT20" s="756"/>
      <c r="AU20" s="756"/>
      <c r="AV20" s="756"/>
      <c r="AW20" s="756"/>
      <c r="AX20" s="756"/>
      <c r="AY20" s="756"/>
      <c r="AZ20" s="2241" t="s">
        <v>154</v>
      </c>
      <c r="BA20" s="2241"/>
      <c r="BB20" s="2241" t="s">
        <v>154</v>
      </c>
      <c r="BC20" s="2241"/>
      <c r="BD20" s="758"/>
      <c r="BE20" s="758"/>
      <c r="BF20" s="758"/>
      <c r="BG20" s="758"/>
      <c r="BH20" s="758"/>
      <c r="BI20" s="758"/>
      <c r="BJ20" s="756"/>
      <c r="BK20" s="756"/>
      <c r="BL20" s="756"/>
      <c r="BM20" s="2241" t="s">
        <v>154</v>
      </c>
      <c r="BN20" s="2241"/>
    </row>
    <row r="21" spans="1:66" ht="11.45" customHeight="1">
      <c r="A21" s="828"/>
      <c r="B21" s="351" t="s">
        <v>155</v>
      </c>
      <c r="C21" s="757" t="s">
        <v>2131</v>
      </c>
      <c r="D21" s="757">
        <v>4</v>
      </c>
      <c r="E21" s="757" t="s">
        <v>2480</v>
      </c>
      <c r="F21" s="757" t="s">
        <v>2480</v>
      </c>
      <c r="G21" s="757" t="s">
        <v>2163</v>
      </c>
      <c r="H21" s="757">
        <v>8</v>
      </c>
      <c r="I21" s="757">
        <v>8</v>
      </c>
      <c r="J21" s="757">
        <v>8</v>
      </c>
      <c r="K21" s="757" t="s">
        <v>52</v>
      </c>
      <c r="L21" s="757">
        <v>6</v>
      </c>
      <c r="M21" s="757">
        <v>8</v>
      </c>
      <c r="N21" s="757">
        <v>8</v>
      </c>
      <c r="O21" s="757" t="s">
        <v>2131</v>
      </c>
      <c r="P21" s="757">
        <v>8</v>
      </c>
      <c r="Q21" s="757">
        <v>8</v>
      </c>
      <c r="R21" s="757" t="s">
        <v>2131</v>
      </c>
      <c r="S21" s="1464"/>
      <c r="T21" s="351" t="s">
        <v>155</v>
      </c>
      <c r="U21" s="765"/>
      <c r="V21" s="351" t="s">
        <v>155</v>
      </c>
      <c r="W21" s="757">
        <v>8</v>
      </c>
      <c r="X21" s="757">
        <v>8</v>
      </c>
      <c r="Y21" s="757">
        <v>8</v>
      </c>
      <c r="Z21" s="757">
        <v>8</v>
      </c>
      <c r="AA21" s="757">
        <v>8</v>
      </c>
      <c r="AB21" s="757">
        <v>8</v>
      </c>
      <c r="AC21" s="757" t="s">
        <v>2163</v>
      </c>
      <c r="AD21" s="757">
        <v>8</v>
      </c>
      <c r="AE21" s="757">
        <v>8</v>
      </c>
      <c r="AF21" s="757" t="s">
        <v>2131</v>
      </c>
      <c r="AG21" s="757">
        <v>8</v>
      </c>
      <c r="AH21" s="757">
        <v>9</v>
      </c>
      <c r="AI21" s="765"/>
      <c r="AJ21" s="351" t="s">
        <v>155</v>
      </c>
      <c r="AK21" s="765"/>
      <c r="AL21" s="351" t="s">
        <v>155</v>
      </c>
      <c r="AM21" s="757">
        <v>8</v>
      </c>
      <c r="AN21" s="757">
        <v>8</v>
      </c>
      <c r="AO21" s="757" t="s">
        <v>2238</v>
      </c>
      <c r="AP21" s="757">
        <v>8</v>
      </c>
      <c r="AQ21" s="757">
        <v>8</v>
      </c>
      <c r="AR21" s="757">
        <v>8</v>
      </c>
      <c r="AS21" s="757">
        <v>8</v>
      </c>
      <c r="AT21" s="757">
        <v>8</v>
      </c>
      <c r="AU21" s="757">
        <v>8</v>
      </c>
      <c r="AV21" s="757">
        <v>8</v>
      </c>
      <c r="AW21" s="757" t="s">
        <v>2131</v>
      </c>
      <c r="AX21" s="757">
        <v>8</v>
      </c>
      <c r="AY21" s="757">
        <v>8</v>
      </c>
      <c r="AZ21" s="765"/>
      <c r="BA21" s="351" t="s">
        <v>155</v>
      </c>
      <c r="BB21" s="765"/>
      <c r="BC21" s="351" t="s">
        <v>155</v>
      </c>
      <c r="BD21" s="757" t="s">
        <v>2163</v>
      </c>
      <c r="BE21" s="757" t="s">
        <v>2641</v>
      </c>
      <c r="BF21" s="757" t="s">
        <v>2163</v>
      </c>
      <c r="BG21" s="757">
        <v>8</v>
      </c>
      <c r="BH21" s="757">
        <v>6.5</v>
      </c>
      <c r="BI21" s="757" t="s">
        <v>2133</v>
      </c>
      <c r="BJ21" s="757" t="s">
        <v>2238</v>
      </c>
      <c r="BK21" s="757">
        <v>8</v>
      </c>
      <c r="BL21" s="757" t="s">
        <v>2131</v>
      </c>
      <c r="BM21" s="765"/>
      <c r="BN21" s="351" t="s">
        <v>155</v>
      </c>
    </row>
    <row r="22" spans="1:66" ht="11.45" customHeight="1">
      <c r="A22" s="33"/>
      <c r="B22" s="829" t="s">
        <v>156</v>
      </c>
      <c r="C22" s="851" t="s">
        <v>52</v>
      </c>
      <c r="D22" s="756" t="s">
        <v>52</v>
      </c>
      <c r="E22" s="851" t="s">
        <v>52</v>
      </c>
      <c r="F22" s="756" t="s">
        <v>52</v>
      </c>
      <c r="G22" s="756" t="s">
        <v>52</v>
      </c>
      <c r="H22" s="756" t="s">
        <v>52</v>
      </c>
      <c r="I22" s="756" t="s">
        <v>52</v>
      </c>
      <c r="J22" s="756" t="s">
        <v>52</v>
      </c>
      <c r="K22" s="756" t="s">
        <v>52</v>
      </c>
      <c r="L22" s="756" t="s">
        <v>52</v>
      </c>
      <c r="M22" s="756" t="s">
        <v>52</v>
      </c>
      <c r="N22" s="756" t="s">
        <v>52</v>
      </c>
      <c r="O22" s="781">
        <v>8</v>
      </c>
      <c r="P22" s="758" t="s">
        <v>52</v>
      </c>
      <c r="Q22" s="756" t="s">
        <v>52</v>
      </c>
      <c r="R22" s="756" t="s">
        <v>52</v>
      </c>
      <c r="S22" s="1465"/>
      <c r="T22" s="829" t="s">
        <v>156</v>
      </c>
      <c r="V22" s="829" t="s">
        <v>156</v>
      </c>
      <c r="W22" s="756" t="s">
        <v>52</v>
      </c>
      <c r="X22" s="851" t="s">
        <v>52</v>
      </c>
      <c r="Y22" s="756" t="s">
        <v>52</v>
      </c>
      <c r="Z22" s="756" t="s">
        <v>52</v>
      </c>
      <c r="AA22" s="756" t="s">
        <v>52</v>
      </c>
      <c r="AB22" s="756">
        <v>8</v>
      </c>
      <c r="AC22" s="756" t="s">
        <v>2163</v>
      </c>
      <c r="AD22" s="756" t="s">
        <v>52</v>
      </c>
      <c r="AE22" s="756" t="s">
        <v>52</v>
      </c>
      <c r="AF22" s="756" t="s">
        <v>2131</v>
      </c>
      <c r="AG22" s="756" t="s">
        <v>52</v>
      </c>
      <c r="AH22" s="756" t="s">
        <v>52</v>
      </c>
      <c r="AJ22" s="829" t="s">
        <v>156</v>
      </c>
      <c r="AL22" s="829" t="s">
        <v>156</v>
      </c>
      <c r="AM22" s="756" t="s">
        <v>52</v>
      </c>
      <c r="AN22" s="756" t="s">
        <v>52</v>
      </c>
      <c r="AO22" s="756" t="s">
        <v>52</v>
      </c>
      <c r="AP22" s="756" t="s">
        <v>52</v>
      </c>
      <c r="AQ22" s="756" t="s">
        <v>52</v>
      </c>
      <c r="AR22" s="756" t="s">
        <v>52</v>
      </c>
      <c r="AS22" s="756" t="s">
        <v>52</v>
      </c>
      <c r="AT22" s="756" t="s">
        <v>52</v>
      </c>
      <c r="AU22" s="756" t="s">
        <v>52</v>
      </c>
      <c r="AV22" s="756" t="s">
        <v>52</v>
      </c>
      <c r="AW22" s="756" t="s">
        <v>52</v>
      </c>
      <c r="AX22" s="756" t="s">
        <v>52</v>
      </c>
      <c r="AY22" s="756" t="s">
        <v>52</v>
      </c>
      <c r="BA22" s="829" t="s">
        <v>156</v>
      </c>
      <c r="BC22" s="829" t="s">
        <v>156</v>
      </c>
      <c r="BD22" s="756" t="s">
        <v>52</v>
      </c>
      <c r="BE22" s="756" t="s">
        <v>52</v>
      </c>
      <c r="BF22" s="756" t="s">
        <v>52</v>
      </c>
      <c r="BG22" s="758" t="s">
        <v>52</v>
      </c>
      <c r="BH22" s="756" t="s">
        <v>52</v>
      </c>
      <c r="BI22" s="756" t="s">
        <v>52</v>
      </c>
      <c r="BJ22" s="756" t="s">
        <v>52</v>
      </c>
      <c r="BK22" s="830" t="s">
        <v>52</v>
      </c>
      <c r="BL22" s="756" t="s">
        <v>52</v>
      </c>
      <c r="BN22" s="829" t="s">
        <v>156</v>
      </c>
    </row>
    <row r="23" spans="1:66" ht="22.5" customHeight="1">
      <c r="A23" s="2244" t="s">
        <v>162</v>
      </c>
      <c r="B23" s="2244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9"/>
      <c r="Q23" s="757"/>
      <c r="R23" s="759"/>
      <c r="S23" s="2244" t="s">
        <v>162</v>
      </c>
      <c r="T23" s="2244"/>
      <c r="U23" s="2244" t="s">
        <v>162</v>
      </c>
      <c r="V23" s="2244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9"/>
      <c r="AI23" s="2244" t="s">
        <v>162</v>
      </c>
      <c r="AJ23" s="2244"/>
      <c r="AK23" s="2244" t="s">
        <v>162</v>
      </c>
      <c r="AL23" s="2244"/>
      <c r="AM23" s="759"/>
      <c r="AN23" s="757"/>
      <c r="AO23" s="757"/>
      <c r="AP23" s="757"/>
      <c r="AQ23" s="757"/>
      <c r="AR23" s="757"/>
      <c r="AS23" s="757"/>
      <c r="AT23" s="757"/>
      <c r="AU23" s="757"/>
      <c r="AV23" s="757"/>
      <c r="AW23" s="757"/>
      <c r="AX23" s="757"/>
      <c r="AY23" s="757"/>
      <c r="AZ23" s="2244" t="s">
        <v>162</v>
      </c>
      <c r="BA23" s="2244"/>
      <c r="BB23" s="2244" t="s">
        <v>162</v>
      </c>
      <c r="BC23" s="2244"/>
      <c r="BD23" s="759"/>
      <c r="BE23" s="757"/>
      <c r="BF23" s="757"/>
      <c r="BG23" s="759"/>
      <c r="BH23" s="757"/>
      <c r="BI23" s="757"/>
      <c r="BJ23" s="757"/>
      <c r="BK23" s="757"/>
      <c r="BL23" s="757"/>
      <c r="BM23" s="2244" t="s">
        <v>162</v>
      </c>
      <c r="BN23" s="2244"/>
    </row>
    <row r="24" spans="1:66" ht="11.45" customHeight="1">
      <c r="B24" s="829" t="s">
        <v>155</v>
      </c>
      <c r="C24" s="756" t="s">
        <v>1669</v>
      </c>
      <c r="D24" s="781" t="s">
        <v>1669</v>
      </c>
      <c r="E24" s="756" t="s">
        <v>1669</v>
      </c>
      <c r="F24" s="756" t="s">
        <v>1669</v>
      </c>
      <c r="G24" s="781" t="s">
        <v>1669</v>
      </c>
      <c r="H24" s="756" t="s">
        <v>1669</v>
      </c>
      <c r="I24" s="756" t="s">
        <v>52</v>
      </c>
      <c r="J24" s="756" t="s">
        <v>1669</v>
      </c>
      <c r="K24" s="756" t="s">
        <v>52</v>
      </c>
      <c r="L24" s="756">
        <v>9</v>
      </c>
      <c r="M24" s="756">
        <v>9</v>
      </c>
      <c r="N24" s="756">
        <v>9</v>
      </c>
      <c r="O24" s="781">
        <v>9</v>
      </c>
      <c r="P24" s="756" t="s">
        <v>1669</v>
      </c>
      <c r="Q24" s="851">
        <v>9</v>
      </c>
      <c r="R24" s="781">
        <v>9</v>
      </c>
      <c r="S24" s="1465"/>
      <c r="T24" s="829" t="s">
        <v>155</v>
      </c>
      <c r="V24" s="829" t="s">
        <v>155</v>
      </c>
      <c r="W24" s="756">
        <v>9</v>
      </c>
      <c r="X24" s="851">
        <v>9</v>
      </c>
      <c r="Y24" s="756">
        <v>9</v>
      </c>
      <c r="Z24" s="756" t="s">
        <v>52</v>
      </c>
      <c r="AA24" s="756" t="s">
        <v>1669</v>
      </c>
      <c r="AB24" s="756">
        <v>9</v>
      </c>
      <c r="AC24" s="756" t="s">
        <v>1330</v>
      </c>
      <c r="AD24" s="756">
        <v>9</v>
      </c>
      <c r="AE24" s="756" t="s">
        <v>1475</v>
      </c>
      <c r="AF24" s="851" t="s">
        <v>1669</v>
      </c>
      <c r="AG24" s="756">
        <v>9</v>
      </c>
      <c r="AH24" s="756">
        <v>9</v>
      </c>
      <c r="AJ24" s="829" t="s">
        <v>155</v>
      </c>
      <c r="AL24" s="829" t="s">
        <v>155</v>
      </c>
      <c r="AM24" s="756">
        <v>9</v>
      </c>
      <c r="AN24" s="756">
        <v>9</v>
      </c>
      <c r="AO24" s="756" t="s">
        <v>1474</v>
      </c>
      <c r="AP24" s="756">
        <v>9</v>
      </c>
      <c r="AQ24" s="756">
        <v>9</v>
      </c>
      <c r="AR24" s="756">
        <v>9</v>
      </c>
      <c r="AS24" s="756" t="s">
        <v>1475</v>
      </c>
      <c r="AT24" s="756">
        <v>9</v>
      </c>
      <c r="AU24" s="756" t="s">
        <v>1475</v>
      </c>
      <c r="AV24" s="756">
        <v>9</v>
      </c>
      <c r="AW24" s="756" t="s">
        <v>1474</v>
      </c>
      <c r="AX24" s="756" t="s">
        <v>1475</v>
      </c>
      <c r="AY24" s="756">
        <v>9</v>
      </c>
      <c r="BA24" s="829" t="s">
        <v>155</v>
      </c>
      <c r="BC24" s="829" t="s">
        <v>155</v>
      </c>
      <c r="BD24" s="756" t="s">
        <v>1475</v>
      </c>
      <c r="BE24" s="756" t="s">
        <v>1330</v>
      </c>
      <c r="BF24" s="756" t="s">
        <v>2163</v>
      </c>
      <c r="BG24" s="756">
        <v>9</v>
      </c>
      <c r="BH24" s="756" t="s">
        <v>52</v>
      </c>
      <c r="BI24" s="756" t="s">
        <v>2564</v>
      </c>
      <c r="BJ24" s="756" t="s">
        <v>2514</v>
      </c>
      <c r="BK24" s="756">
        <v>9</v>
      </c>
      <c r="BL24" s="756" t="s">
        <v>1330</v>
      </c>
      <c r="BN24" s="829" t="s">
        <v>155</v>
      </c>
    </row>
    <row r="25" spans="1:66" ht="11.45" customHeight="1">
      <c r="A25" s="765"/>
      <c r="B25" s="351" t="s">
        <v>156</v>
      </c>
      <c r="C25" s="757" t="s">
        <v>52</v>
      </c>
      <c r="D25" s="757" t="s">
        <v>52</v>
      </c>
      <c r="E25" s="757" t="s">
        <v>52</v>
      </c>
      <c r="F25" s="757" t="s">
        <v>52</v>
      </c>
      <c r="G25" s="757" t="s">
        <v>52</v>
      </c>
      <c r="H25" s="757" t="s">
        <v>52</v>
      </c>
      <c r="I25" s="757" t="s">
        <v>1669</v>
      </c>
      <c r="J25" s="757" t="s">
        <v>52</v>
      </c>
      <c r="K25" s="757" t="s">
        <v>52</v>
      </c>
      <c r="L25" s="757" t="s">
        <v>52</v>
      </c>
      <c r="M25" s="757">
        <v>9</v>
      </c>
      <c r="N25" s="757">
        <v>9</v>
      </c>
      <c r="O25" s="879">
        <v>9</v>
      </c>
      <c r="P25" s="757" t="s">
        <v>52</v>
      </c>
      <c r="Q25" s="757">
        <v>9</v>
      </c>
      <c r="R25" s="759" t="s">
        <v>52</v>
      </c>
      <c r="S25" s="1464"/>
      <c r="T25" s="351" t="s">
        <v>156</v>
      </c>
      <c r="U25" s="765"/>
      <c r="V25" s="351" t="s">
        <v>156</v>
      </c>
      <c r="W25" s="757" t="s">
        <v>52</v>
      </c>
      <c r="X25" s="757" t="s">
        <v>52</v>
      </c>
      <c r="Y25" s="757" t="s">
        <v>52</v>
      </c>
      <c r="Z25" s="757">
        <v>9</v>
      </c>
      <c r="AA25" s="757" t="s">
        <v>52</v>
      </c>
      <c r="AB25" s="757">
        <v>9</v>
      </c>
      <c r="AC25" s="757" t="s">
        <v>1330</v>
      </c>
      <c r="AD25" s="757">
        <v>9</v>
      </c>
      <c r="AE25" s="757" t="s">
        <v>1475</v>
      </c>
      <c r="AF25" s="1062" t="s">
        <v>52</v>
      </c>
      <c r="AG25" s="757">
        <v>9</v>
      </c>
      <c r="AH25" s="831" t="s">
        <v>52</v>
      </c>
      <c r="AI25" s="765"/>
      <c r="AJ25" s="351" t="s">
        <v>156</v>
      </c>
      <c r="AK25" s="765"/>
      <c r="AL25" s="351" t="s">
        <v>156</v>
      </c>
      <c r="AM25" s="757">
        <v>9</v>
      </c>
      <c r="AN25" s="757" t="s">
        <v>52</v>
      </c>
      <c r="AO25" s="831" t="s">
        <v>52</v>
      </c>
      <c r="AP25" s="757" t="s">
        <v>52</v>
      </c>
      <c r="AQ25" s="757" t="s">
        <v>52</v>
      </c>
      <c r="AR25" s="757" t="s">
        <v>52</v>
      </c>
      <c r="AS25" s="757" t="s">
        <v>52</v>
      </c>
      <c r="AT25" s="757" t="s">
        <v>52</v>
      </c>
      <c r="AU25" s="757" t="s">
        <v>52</v>
      </c>
      <c r="AV25" s="757" t="s">
        <v>52</v>
      </c>
      <c r="AW25" s="757" t="s">
        <v>52</v>
      </c>
      <c r="AX25" s="757" t="s">
        <v>52</v>
      </c>
      <c r="AY25" s="757" t="s">
        <v>52</v>
      </c>
      <c r="AZ25" s="765"/>
      <c r="BA25" s="351" t="s">
        <v>156</v>
      </c>
      <c r="BB25" s="765"/>
      <c r="BC25" s="351" t="s">
        <v>156</v>
      </c>
      <c r="BD25" s="757" t="s">
        <v>52</v>
      </c>
      <c r="BE25" s="757" t="s">
        <v>1330</v>
      </c>
      <c r="BF25" s="757" t="s">
        <v>52</v>
      </c>
      <c r="BG25" s="759" t="s">
        <v>52</v>
      </c>
      <c r="BH25" s="757" t="s">
        <v>52</v>
      </c>
      <c r="BI25" s="831" t="s">
        <v>52</v>
      </c>
      <c r="BJ25" s="757" t="s">
        <v>52</v>
      </c>
      <c r="BK25" s="831" t="s">
        <v>52</v>
      </c>
      <c r="BL25" s="757" t="s">
        <v>52</v>
      </c>
      <c r="BM25" s="765"/>
      <c r="BN25" s="351" t="s">
        <v>156</v>
      </c>
    </row>
    <row r="26" spans="1:66" ht="12.75" customHeight="1">
      <c r="A26" s="2241" t="s">
        <v>28</v>
      </c>
      <c r="B26" s="2241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8"/>
      <c r="R26" s="758"/>
      <c r="S26" s="2241" t="s">
        <v>28</v>
      </c>
      <c r="T26" s="2241"/>
      <c r="U26" s="2241" t="s">
        <v>28</v>
      </c>
      <c r="V26" s="2241"/>
      <c r="W26" s="756"/>
      <c r="X26" s="851"/>
      <c r="Y26" s="756"/>
      <c r="Z26" s="756"/>
      <c r="AA26" s="756"/>
      <c r="AB26" s="756"/>
      <c r="AC26" s="756"/>
      <c r="AD26" s="756"/>
      <c r="AE26" s="756"/>
      <c r="AF26" s="756"/>
      <c r="AG26" s="756"/>
      <c r="AH26" s="756"/>
      <c r="AI26" s="2241" t="s">
        <v>28</v>
      </c>
      <c r="AJ26" s="2241"/>
      <c r="AK26" s="2241" t="s">
        <v>28</v>
      </c>
      <c r="AL26" s="2241"/>
      <c r="AM26" s="756"/>
      <c r="AN26" s="756"/>
      <c r="AO26" s="756"/>
      <c r="AP26" s="756"/>
      <c r="AQ26" s="756"/>
      <c r="AR26" s="756"/>
      <c r="AS26" s="756"/>
      <c r="AT26" s="756"/>
      <c r="AU26" s="756"/>
      <c r="AV26" s="756"/>
      <c r="AW26" s="756"/>
      <c r="AX26" s="756"/>
      <c r="AY26" s="756"/>
      <c r="AZ26" s="2241" t="s">
        <v>28</v>
      </c>
      <c r="BA26" s="2241"/>
      <c r="BB26" s="2241" t="s">
        <v>28</v>
      </c>
      <c r="BC26" s="2241"/>
      <c r="BD26" s="756"/>
      <c r="BE26" s="756"/>
      <c r="BF26" s="756"/>
      <c r="BG26" s="758"/>
      <c r="BH26" s="756"/>
      <c r="BI26" s="756"/>
      <c r="BJ26" s="756"/>
      <c r="BK26" s="756"/>
      <c r="BL26" s="756"/>
      <c r="BM26" s="2241" t="s">
        <v>28</v>
      </c>
      <c r="BN26" s="2241"/>
    </row>
    <row r="27" spans="1:66" ht="11.45" customHeight="1">
      <c r="A27" s="765"/>
      <c r="B27" s="351" t="s">
        <v>155</v>
      </c>
      <c r="C27" s="757" t="s">
        <v>1669</v>
      </c>
      <c r="D27" s="879" t="s">
        <v>1669</v>
      </c>
      <c r="E27" s="757" t="s">
        <v>1669</v>
      </c>
      <c r="F27" s="757">
        <v>9</v>
      </c>
      <c r="G27" s="879" t="s">
        <v>1669</v>
      </c>
      <c r="H27" s="879">
        <v>9</v>
      </c>
      <c r="I27" s="757" t="s">
        <v>52</v>
      </c>
      <c r="J27" s="757" t="s">
        <v>1669</v>
      </c>
      <c r="K27" s="757" t="s">
        <v>52</v>
      </c>
      <c r="L27" s="757">
        <v>9</v>
      </c>
      <c r="M27" s="757">
        <v>9</v>
      </c>
      <c r="N27" s="757">
        <v>9</v>
      </c>
      <c r="O27" s="879">
        <v>9</v>
      </c>
      <c r="P27" s="757">
        <v>9</v>
      </c>
      <c r="Q27" s="757">
        <v>9</v>
      </c>
      <c r="R27" s="879">
        <v>9</v>
      </c>
      <c r="S27" s="1464"/>
      <c r="T27" s="351" t="s">
        <v>155</v>
      </c>
      <c r="U27" s="765"/>
      <c r="V27" s="351" t="s">
        <v>155</v>
      </c>
      <c r="W27" s="757">
        <v>9</v>
      </c>
      <c r="X27" s="757">
        <v>9</v>
      </c>
      <c r="Y27" s="757">
        <v>9</v>
      </c>
      <c r="Z27" s="757">
        <v>9</v>
      </c>
      <c r="AA27" s="757" t="s">
        <v>1669</v>
      </c>
      <c r="AB27" s="757">
        <v>9</v>
      </c>
      <c r="AC27" s="757" t="s">
        <v>1330</v>
      </c>
      <c r="AD27" s="757">
        <v>9</v>
      </c>
      <c r="AE27" s="757" t="s">
        <v>1475</v>
      </c>
      <c r="AF27" s="757" t="s">
        <v>1669</v>
      </c>
      <c r="AG27" s="757">
        <v>9</v>
      </c>
      <c r="AH27" s="757">
        <v>9</v>
      </c>
      <c r="AI27" s="765"/>
      <c r="AJ27" s="351" t="s">
        <v>155</v>
      </c>
      <c r="AK27" s="765"/>
      <c r="AL27" s="351" t="s">
        <v>155</v>
      </c>
      <c r="AM27" s="757">
        <v>9</v>
      </c>
      <c r="AN27" s="757">
        <v>9</v>
      </c>
      <c r="AO27" s="757" t="s">
        <v>1475</v>
      </c>
      <c r="AP27" s="757">
        <v>9</v>
      </c>
      <c r="AQ27" s="757">
        <v>9</v>
      </c>
      <c r="AR27" s="757">
        <v>9</v>
      </c>
      <c r="AS27" s="757" t="s">
        <v>2510</v>
      </c>
      <c r="AT27" s="757">
        <v>9</v>
      </c>
      <c r="AU27" s="757" t="s">
        <v>1475</v>
      </c>
      <c r="AV27" s="757">
        <v>9</v>
      </c>
      <c r="AW27" s="757" t="s">
        <v>52</v>
      </c>
      <c r="AX27" s="757" t="s">
        <v>1475</v>
      </c>
      <c r="AY27" s="757">
        <v>9</v>
      </c>
      <c r="AZ27" s="765"/>
      <c r="BA27" s="351" t="s">
        <v>155</v>
      </c>
      <c r="BB27" s="765"/>
      <c r="BC27" s="351" t="s">
        <v>155</v>
      </c>
      <c r="BD27" s="757">
        <v>9</v>
      </c>
      <c r="BE27" s="757" t="s">
        <v>1474</v>
      </c>
      <c r="BF27" s="757" t="s">
        <v>1330</v>
      </c>
      <c r="BG27" s="757">
        <v>9</v>
      </c>
      <c r="BH27" s="757">
        <v>8</v>
      </c>
      <c r="BI27" s="757" t="s">
        <v>52</v>
      </c>
      <c r="BJ27" s="757" t="s">
        <v>1475</v>
      </c>
      <c r="BK27" s="757">
        <v>9</v>
      </c>
      <c r="BL27" s="757" t="s">
        <v>1330</v>
      </c>
      <c r="BM27" s="765"/>
      <c r="BN27" s="351" t="s">
        <v>155</v>
      </c>
    </row>
    <row r="28" spans="1:66" ht="11.45" customHeight="1">
      <c r="B28" s="829" t="s">
        <v>156</v>
      </c>
      <c r="C28" s="756" t="s">
        <v>52</v>
      </c>
      <c r="D28" s="756" t="s">
        <v>52</v>
      </c>
      <c r="E28" s="756" t="s">
        <v>52</v>
      </c>
      <c r="F28" s="827" t="s">
        <v>52</v>
      </c>
      <c r="G28" s="756" t="s">
        <v>52</v>
      </c>
      <c r="H28" s="756" t="s">
        <v>52</v>
      </c>
      <c r="I28" s="756" t="s">
        <v>1669</v>
      </c>
      <c r="J28" s="756" t="s">
        <v>52</v>
      </c>
      <c r="K28" s="756" t="s">
        <v>52</v>
      </c>
      <c r="L28" s="827" t="s">
        <v>52</v>
      </c>
      <c r="M28" s="756">
        <v>9</v>
      </c>
      <c r="N28" s="756">
        <v>9</v>
      </c>
      <c r="O28" s="756" t="s">
        <v>52</v>
      </c>
      <c r="P28" s="756" t="s">
        <v>52</v>
      </c>
      <c r="Q28" s="756">
        <v>9</v>
      </c>
      <c r="R28" s="758" t="s">
        <v>52</v>
      </c>
      <c r="S28" s="1465"/>
      <c r="T28" s="829" t="s">
        <v>156</v>
      </c>
      <c r="V28" s="829" t="s">
        <v>156</v>
      </c>
      <c r="W28" s="756" t="s">
        <v>52</v>
      </c>
      <c r="X28" s="851" t="s">
        <v>52</v>
      </c>
      <c r="Y28" s="756" t="s">
        <v>52</v>
      </c>
      <c r="Z28" s="756" t="s">
        <v>52</v>
      </c>
      <c r="AA28" s="756" t="s">
        <v>52</v>
      </c>
      <c r="AB28" s="756">
        <v>9</v>
      </c>
      <c r="AC28" s="756" t="s">
        <v>52</v>
      </c>
      <c r="AD28" s="756" t="s">
        <v>52</v>
      </c>
      <c r="AE28" s="756" t="s">
        <v>1475</v>
      </c>
      <c r="AF28" s="756" t="s">
        <v>52</v>
      </c>
      <c r="AG28" s="756">
        <v>9</v>
      </c>
      <c r="AH28" s="830" t="s">
        <v>52</v>
      </c>
      <c r="AJ28" s="829" t="s">
        <v>156</v>
      </c>
      <c r="AL28" s="829" t="s">
        <v>156</v>
      </c>
      <c r="AM28" s="756">
        <v>9</v>
      </c>
      <c r="AN28" s="756" t="s">
        <v>52</v>
      </c>
      <c r="AO28" s="830" t="s">
        <v>52</v>
      </c>
      <c r="AP28" s="756" t="s">
        <v>52</v>
      </c>
      <c r="AQ28" s="830" t="s">
        <v>52</v>
      </c>
      <c r="AR28" s="756" t="s">
        <v>52</v>
      </c>
      <c r="AS28" s="756" t="s">
        <v>52</v>
      </c>
      <c r="AT28" s="756" t="s">
        <v>52</v>
      </c>
      <c r="AU28" s="756" t="s">
        <v>52</v>
      </c>
      <c r="AV28" s="756" t="s">
        <v>52</v>
      </c>
      <c r="AW28" s="756" t="s">
        <v>52</v>
      </c>
      <c r="AX28" s="756" t="s">
        <v>52</v>
      </c>
      <c r="AY28" s="756" t="s">
        <v>52</v>
      </c>
      <c r="BA28" s="829" t="s">
        <v>156</v>
      </c>
      <c r="BC28" s="829" t="s">
        <v>156</v>
      </c>
      <c r="BD28" s="756" t="s">
        <v>52</v>
      </c>
      <c r="BE28" s="756" t="s">
        <v>1474</v>
      </c>
      <c r="BF28" s="756" t="s">
        <v>52</v>
      </c>
      <c r="BG28" s="758" t="s">
        <v>52</v>
      </c>
      <c r="BH28" s="756" t="s">
        <v>52</v>
      </c>
      <c r="BI28" s="756" t="s">
        <v>52</v>
      </c>
      <c r="BJ28" s="756" t="s">
        <v>52</v>
      </c>
      <c r="BK28" s="830" t="s">
        <v>52</v>
      </c>
      <c r="BL28" s="756" t="s">
        <v>52</v>
      </c>
      <c r="BN28" s="829" t="s">
        <v>156</v>
      </c>
    </row>
    <row r="29" spans="1:66" ht="15" customHeight="1">
      <c r="A29" s="2269" t="s">
        <v>166</v>
      </c>
      <c r="B29" s="2269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757"/>
      <c r="Q29" s="759"/>
      <c r="R29" s="759"/>
      <c r="S29" s="2244" t="s">
        <v>166</v>
      </c>
      <c r="T29" s="2244"/>
      <c r="U29" s="2244" t="s">
        <v>166</v>
      </c>
      <c r="V29" s="2244"/>
      <c r="W29" s="757"/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9"/>
      <c r="AI29" s="2244" t="s">
        <v>166</v>
      </c>
      <c r="AJ29" s="2244"/>
      <c r="AK29" s="2244" t="s">
        <v>166</v>
      </c>
      <c r="AL29" s="2244"/>
      <c r="AM29" s="759"/>
      <c r="AN29" s="757"/>
      <c r="AO29" s="832"/>
      <c r="AP29" s="757"/>
      <c r="AQ29" s="757"/>
      <c r="AR29" s="757"/>
      <c r="AS29" s="757"/>
      <c r="AT29" s="757"/>
      <c r="AU29" s="757"/>
      <c r="AV29" s="757"/>
      <c r="AW29" s="757"/>
      <c r="AX29" s="757"/>
      <c r="AY29" s="757"/>
      <c r="AZ29" s="2244" t="s">
        <v>166</v>
      </c>
      <c r="BA29" s="2244"/>
      <c r="BB29" s="2244" t="s">
        <v>166</v>
      </c>
      <c r="BC29" s="2244"/>
      <c r="BD29" s="757"/>
      <c r="BE29" s="757"/>
      <c r="BF29" s="757"/>
      <c r="BG29" s="759"/>
      <c r="BH29" s="757"/>
      <c r="BI29" s="757"/>
      <c r="BJ29" s="757"/>
      <c r="BK29" s="757"/>
      <c r="BL29" s="757"/>
      <c r="BM29" s="2244" t="s">
        <v>166</v>
      </c>
      <c r="BN29" s="2244"/>
    </row>
    <row r="30" spans="1:66" s="885" customFormat="1" ht="18.75" customHeight="1">
      <c r="A30" s="833" t="s">
        <v>332</v>
      </c>
      <c r="B30" s="834" t="s">
        <v>647</v>
      </c>
      <c r="C30" s="756"/>
      <c r="D30" s="756"/>
      <c r="E30" s="756"/>
      <c r="F30" s="756"/>
      <c r="G30" s="756"/>
      <c r="H30" s="756"/>
      <c r="I30" s="756"/>
      <c r="J30" s="756"/>
      <c r="K30" s="756"/>
      <c r="L30" s="827"/>
      <c r="M30" s="756"/>
      <c r="N30" s="756"/>
      <c r="O30" s="756"/>
      <c r="P30" s="851"/>
      <c r="Q30" s="758"/>
      <c r="R30" s="758"/>
      <c r="S30" s="833" t="s">
        <v>332</v>
      </c>
      <c r="T30" s="1467" t="s">
        <v>647</v>
      </c>
      <c r="U30" s="833" t="s">
        <v>332</v>
      </c>
      <c r="V30" s="835" t="s">
        <v>647</v>
      </c>
      <c r="W30" s="756"/>
      <c r="X30" s="851"/>
      <c r="Y30" s="756"/>
      <c r="Z30" s="756"/>
      <c r="AA30" s="756"/>
      <c r="AB30" s="756"/>
      <c r="AC30" s="756"/>
      <c r="AD30" s="756"/>
      <c r="AE30" s="756"/>
      <c r="AF30" s="756"/>
      <c r="AG30" s="756"/>
      <c r="AH30" s="758"/>
      <c r="AI30" s="833" t="s">
        <v>332</v>
      </c>
      <c r="AJ30" s="835" t="s">
        <v>647</v>
      </c>
      <c r="AK30" s="833" t="s">
        <v>332</v>
      </c>
      <c r="AL30" s="835" t="s">
        <v>647</v>
      </c>
      <c r="AM30" s="758"/>
      <c r="AN30" s="756"/>
      <c r="AO30" s="756"/>
      <c r="AP30" s="756"/>
      <c r="AQ30" s="756"/>
      <c r="AR30" s="756"/>
      <c r="AS30" s="756"/>
      <c r="AT30" s="756"/>
      <c r="AU30" s="756"/>
      <c r="AV30" s="756"/>
      <c r="AW30" s="756"/>
      <c r="AX30" s="756"/>
      <c r="AY30" s="756"/>
      <c r="AZ30" s="833" t="s">
        <v>332</v>
      </c>
      <c r="BA30" s="835" t="s">
        <v>647</v>
      </c>
      <c r="BB30" s="833" t="s">
        <v>332</v>
      </c>
      <c r="BC30" s="835" t="s">
        <v>647</v>
      </c>
      <c r="BD30" s="756"/>
      <c r="BE30" s="756"/>
      <c r="BF30" s="756"/>
      <c r="BG30" s="758"/>
      <c r="BH30" s="756"/>
      <c r="BI30" s="756"/>
      <c r="BJ30" s="756"/>
      <c r="BK30" s="756"/>
      <c r="BL30" s="756"/>
      <c r="BM30" s="833" t="s">
        <v>332</v>
      </c>
      <c r="BN30" s="835" t="s">
        <v>647</v>
      </c>
    </row>
    <row r="31" spans="1:66" ht="11.45" customHeight="1">
      <c r="A31" s="836"/>
      <c r="B31" s="351" t="s">
        <v>163</v>
      </c>
      <c r="C31" s="757" t="s">
        <v>1669</v>
      </c>
      <c r="D31" s="879" t="s">
        <v>1669</v>
      </c>
      <c r="E31" s="757" t="s">
        <v>1669</v>
      </c>
      <c r="F31" s="757" t="s">
        <v>1669</v>
      </c>
      <c r="G31" s="879" t="s">
        <v>1669</v>
      </c>
      <c r="H31" s="757" t="s">
        <v>1669</v>
      </c>
      <c r="I31" s="757" t="s">
        <v>52</v>
      </c>
      <c r="J31" s="879" t="s">
        <v>1669</v>
      </c>
      <c r="K31" s="879" t="s">
        <v>52</v>
      </c>
      <c r="L31" s="757">
        <v>9</v>
      </c>
      <c r="M31" s="757">
        <v>9</v>
      </c>
      <c r="N31" s="757">
        <v>9</v>
      </c>
      <c r="O31" s="879">
        <v>9</v>
      </c>
      <c r="P31" s="757" t="s">
        <v>1669</v>
      </c>
      <c r="Q31" s="757" t="s">
        <v>1669</v>
      </c>
      <c r="R31" s="757" t="s">
        <v>1669</v>
      </c>
      <c r="S31" s="1468"/>
      <c r="T31" s="351" t="s">
        <v>155</v>
      </c>
      <c r="U31" s="836"/>
      <c r="V31" s="351" t="s">
        <v>155</v>
      </c>
      <c r="W31" s="757">
        <v>9</v>
      </c>
      <c r="X31" s="757">
        <v>9</v>
      </c>
      <c r="Y31" s="757">
        <v>9</v>
      </c>
      <c r="Z31" s="757">
        <v>9</v>
      </c>
      <c r="AA31" s="757" t="s">
        <v>1669</v>
      </c>
      <c r="AB31" s="757">
        <v>9</v>
      </c>
      <c r="AC31" s="757" t="s">
        <v>1330</v>
      </c>
      <c r="AD31" s="757">
        <v>9</v>
      </c>
      <c r="AE31" s="757" t="s">
        <v>1475</v>
      </c>
      <c r="AF31" s="757" t="s">
        <v>1669</v>
      </c>
      <c r="AG31" s="757">
        <v>9</v>
      </c>
      <c r="AH31" s="757">
        <v>9</v>
      </c>
      <c r="AI31" s="836"/>
      <c r="AJ31" s="351" t="s">
        <v>155</v>
      </c>
      <c r="AK31" s="836"/>
      <c r="AL31" s="351" t="s">
        <v>155</v>
      </c>
      <c r="AM31" s="757">
        <v>9</v>
      </c>
      <c r="AN31" s="757">
        <v>9</v>
      </c>
      <c r="AO31" s="757" t="s">
        <v>1474</v>
      </c>
      <c r="AP31" s="757">
        <v>9</v>
      </c>
      <c r="AQ31" s="757">
        <v>9</v>
      </c>
      <c r="AR31" s="757">
        <v>9</v>
      </c>
      <c r="AS31" s="757" t="s">
        <v>1475</v>
      </c>
      <c r="AT31" s="757">
        <v>9</v>
      </c>
      <c r="AU31" s="757" t="s">
        <v>1475</v>
      </c>
      <c r="AV31" s="757">
        <v>9</v>
      </c>
      <c r="AW31" s="757" t="s">
        <v>52</v>
      </c>
      <c r="AX31" s="757" t="s">
        <v>1475</v>
      </c>
      <c r="AY31" s="757">
        <v>9</v>
      </c>
      <c r="AZ31" s="836"/>
      <c r="BA31" s="351" t="s">
        <v>155</v>
      </c>
      <c r="BB31" s="836"/>
      <c r="BC31" s="351" t="s">
        <v>155</v>
      </c>
      <c r="BD31" s="757" t="s">
        <v>1330</v>
      </c>
      <c r="BE31" s="757" t="s">
        <v>2133</v>
      </c>
      <c r="BF31" s="757" t="s">
        <v>1330</v>
      </c>
      <c r="BG31" s="757">
        <v>9</v>
      </c>
      <c r="BH31" s="757">
        <v>9</v>
      </c>
      <c r="BI31" s="757" t="s">
        <v>2105</v>
      </c>
      <c r="BJ31" s="757" t="s">
        <v>1474</v>
      </c>
      <c r="BK31" s="757">
        <v>9</v>
      </c>
      <c r="BL31" s="757" t="s">
        <v>2514</v>
      </c>
      <c r="BM31" s="836"/>
      <c r="BN31" s="351" t="s">
        <v>155</v>
      </c>
    </row>
    <row r="32" spans="1:66" ht="11.45" customHeight="1">
      <c r="A32" s="833"/>
      <c r="B32" s="829" t="s">
        <v>164</v>
      </c>
      <c r="C32" s="756" t="s">
        <v>52</v>
      </c>
      <c r="D32" s="830" t="s">
        <v>52</v>
      </c>
      <c r="E32" s="756" t="s">
        <v>52</v>
      </c>
      <c r="F32" s="756" t="s">
        <v>52</v>
      </c>
      <c r="G32" s="756" t="s">
        <v>52</v>
      </c>
      <c r="H32" s="756" t="s">
        <v>52</v>
      </c>
      <c r="I32" s="756" t="s">
        <v>1669</v>
      </c>
      <c r="J32" s="756" t="s">
        <v>52</v>
      </c>
      <c r="K32" s="756" t="s">
        <v>52</v>
      </c>
      <c r="L32" s="756" t="s">
        <v>52</v>
      </c>
      <c r="M32" s="756">
        <v>9</v>
      </c>
      <c r="N32" s="756">
        <v>9</v>
      </c>
      <c r="O32" s="781">
        <v>9</v>
      </c>
      <c r="P32" s="756" t="s">
        <v>52</v>
      </c>
      <c r="Q32" s="756">
        <v>9</v>
      </c>
      <c r="R32" s="758" t="s">
        <v>52</v>
      </c>
      <c r="S32" s="1466"/>
      <c r="T32" s="829" t="s">
        <v>156</v>
      </c>
      <c r="U32" s="833"/>
      <c r="V32" s="829" t="s">
        <v>156</v>
      </c>
      <c r="W32" s="756" t="s">
        <v>52</v>
      </c>
      <c r="X32" s="851" t="s">
        <v>52</v>
      </c>
      <c r="Y32" s="756" t="s">
        <v>52</v>
      </c>
      <c r="Z32" s="756" t="s">
        <v>52</v>
      </c>
      <c r="AA32" s="756" t="s">
        <v>52</v>
      </c>
      <c r="AB32" s="756">
        <v>9</v>
      </c>
      <c r="AC32" s="756" t="s">
        <v>1330</v>
      </c>
      <c r="AD32" s="756" t="s">
        <v>52</v>
      </c>
      <c r="AE32" s="756" t="s">
        <v>1475</v>
      </c>
      <c r="AF32" s="756" t="s">
        <v>52</v>
      </c>
      <c r="AG32" s="756" t="s">
        <v>52</v>
      </c>
      <c r="AH32" s="830" t="s">
        <v>52</v>
      </c>
      <c r="AI32" s="833"/>
      <c r="AJ32" s="829" t="s">
        <v>156</v>
      </c>
      <c r="AK32" s="833"/>
      <c r="AL32" s="829" t="s">
        <v>156</v>
      </c>
      <c r="AM32" s="756" t="s">
        <v>52</v>
      </c>
      <c r="AN32" s="758" t="s">
        <v>52</v>
      </c>
      <c r="AO32" s="830" t="s">
        <v>52</v>
      </c>
      <c r="AP32" s="756" t="s">
        <v>52</v>
      </c>
      <c r="AQ32" s="756" t="s">
        <v>52</v>
      </c>
      <c r="AR32" s="756" t="s">
        <v>52</v>
      </c>
      <c r="AS32" s="756" t="s">
        <v>52</v>
      </c>
      <c r="AT32" s="756" t="s">
        <v>52</v>
      </c>
      <c r="AU32" s="756" t="s">
        <v>52</v>
      </c>
      <c r="AV32" s="756" t="s">
        <v>52</v>
      </c>
      <c r="AW32" s="756" t="s">
        <v>52</v>
      </c>
      <c r="AX32" s="756" t="s">
        <v>52</v>
      </c>
      <c r="AY32" s="756" t="s">
        <v>52</v>
      </c>
      <c r="AZ32" s="833"/>
      <c r="BA32" s="829" t="s">
        <v>156</v>
      </c>
      <c r="BB32" s="833"/>
      <c r="BC32" s="829" t="s">
        <v>156</v>
      </c>
      <c r="BD32" s="756" t="s">
        <v>52</v>
      </c>
      <c r="BE32" s="756" t="s">
        <v>1330</v>
      </c>
      <c r="BF32" s="756" t="s">
        <v>52</v>
      </c>
      <c r="BG32" s="758" t="s">
        <v>52</v>
      </c>
      <c r="BH32" s="756" t="s">
        <v>52</v>
      </c>
      <c r="BI32" s="756" t="s">
        <v>2105</v>
      </c>
      <c r="BJ32" s="756" t="s">
        <v>52</v>
      </c>
      <c r="BK32" s="830" t="s">
        <v>52</v>
      </c>
      <c r="BL32" s="756" t="s">
        <v>52</v>
      </c>
      <c r="BM32" s="833"/>
      <c r="BN32" s="829" t="s">
        <v>156</v>
      </c>
    </row>
    <row r="33" spans="1:66" ht="21" customHeight="1">
      <c r="A33" s="836" t="s">
        <v>517</v>
      </c>
      <c r="B33" s="1447" t="s">
        <v>648</v>
      </c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757"/>
      <c r="Q33" s="759"/>
      <c r="R33" s="759"/>
      <c r="S33" s="836" t="s">
        <v>517</v>
      </c>
      <c r="T33" s="1461" t="s">
        <v>648</v>
      </c>
      <c r="U33" s="836" t="s">
        <v>517</v>
      </c>
      <c r="V33" s="1447" t="s">
        <v>648</v>
      </c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836" t="s">
        <v>517</v>
      </c>
      <c r="AJ33" s="1447" t="s">
        <v>648</v>
      </c>
      <c r="AK33" s="836" t="s">
        <v>517</v>
      </c>
      <c r="AL33" s="1447" t="s">
        <v>648</v>
      </c>
      <c r="AM33" s="757"/>
      <c r="AN33" s="759"/>
      <c r="AO33" s="757"/>
      <c r="AP33" s="757"/>
      <c r="AQ33" s="757"/>
      <c r="AR33" s="757"/>
      <c r="AS33" s="757"/>
      <c r="AT33" s="757"/>
      <c r="AU33" s="757"/>
      <c r="AV33" s="757"/>
      <c r="AW33" s="757"/>
      <c r="AX33" s="757"/>
      <c r="AY33" s="757"/>
      <c r="AZ33" s="836" t="s">
        <v>517</v>
      </c>
      <c r="BA33" s="1447" t="s">
        <v>648</v>
      </c>
      <c r="BB33" s="836" t="s">
        <v>517</v>
      </c>
      <c r="BC33" s="1447" t="s">
        <v>648</v>
      </c>
      <c r="BD33" s="757"/>
      <c r="BE33" s="757"/>
      <c r="BF33" s="757"/>
      <c r="BG33" s="759"/>
      <c r="BH33" s="757"/>
      <c r="BI33" s="757"/>
      <c r="BJ33" s="757"/>
      <c r="BK33" s="757"/>
      <c r="BL33" s="757"/>
      <c r="BM33" s="836" t="s">
        <v>517</v>
      </c>
      <c r="BN33" s="1447" t="s">
        <v>648</v>
      </c>
    </row>
    <row r="34" spans="1:66" ht="11.45" customHeight="1">
      <c r="B34" s="829" t="s">
        <v>163</v>
      </c>
      <c r="C34" s="851" t="s">
        <v>1669</v>
      </c>
      <c r="D34" s="781" t="s">
        <v>1669</v>
      </c>
      <c r="E34" s="756" t="s">
        <v>1669</v>
      </c>
      <c r="F34" s="756">
        <v>9</v>
      </c>
      <c r="G34" s="781">
        <v>9</v>
      </c>
      <c r="H34" s="756" t="s">
        <v>1669</v>
      </c>
      <c r="I34" s="756" t="s">
        <v>52</v>
      </c>
      <c r="J34" s="781" t="s">
        <v>1669</v>
      </c>
      <c r="K34" s="781" t="s">
        <v>52</v>
      </c>
      <c r="L34" s="756">
        <v>9</v>
      </c>
      <c r="M34" s="756">
        <v>9</v>
      </c>
      <c r="N34" s="756">
        <v>9</v>
      </c>
      <c r="O34" s="781">
        <v>9</v>
      </c>
      <c r="P34" s="756">
        <v>9</v>
      </c>
      <c r="Q34" s="756" t="s">
        <v>1669</v>
      </c>
      <c r="R34" s="756" t="s">
        <v>1669</v>
      </c>
      <c r="S34" s="1465"/>
      <c r="T34" s="829" t="s">
        <v>155</v>
      </c>
      <c r="V34" s="829" t="s">
        <v>155</v>
      </c>
      <c r="W34" s="756">
        <v>9</v>
      </c>
      <c r="X34" s="851">
        <v>9</v>
      </c>
      <c r="Y34" s="756">
        <v>9</v>
      </c>
      <c r="Z34" s="756">
        <v>9</v>
      </c>
      <c r="AA34" s="851" t="s">
        <v>1669</v>
      </c>
      <c r="AB34" s="756">
        <v>9</v>
      </c>
      <c r="AC34" s="756" t="s">
        <v>1330</v>
      </c>
      <c r="AD34" s="756">
        <v>9</v>
      </c>
      <c r="AE34" s="756" t="s">
        <v>1475</v>
      </c>
      <c r="AF34" s="756" t="s">
        <v>1669</v>
      </c>
      <c r="AG34" s="756">
        <v>9</v>
      </c>
      <c r="AH34" s="756">
        <v>9</v>
      </c>
      <c r="AJ34" s="829" t="s">
        <v>155</v>
      </c>
      <c r="AL34" s="829" t="s">
        <v>155</v>
      </c>
      <c r="AM34" s="756">
        <v>9</v>
      </c>
      <c r="AN34" s="756">
        <v>9</v>
      </c>
      <c r="AO34" s="756" t="s">
        <v>1475</v>
      </c>
      <c r="AP34" s="756">
        <v>9</v>
      </c>
      <c r="AQ34" s="756">
        <v>9</v>
      </c>
      <c r="AR34" s="756">
        <v>9</v>
      </c>
      <c r="AS34" s="756" t="s">
        <v>2511</v>
      </c>
      <c r="AT34" s="756">
        <v>9</v>
      </c>
      <c r="AU34" s="756" t="s">
        <v>1475</v>
      </c>
      <c r="AV34" s="756">
        <v>9</v>
      </c>
      <c r="AW34" s="756" t="s">
        <v>1474</v>
      </c>
      <c r="AX34" s="756" t="s">
        <v>1475</v>
      </c>
      <c r="AY34" s="756">
        <v>9</v>
      </c>
      <c r="BA34" s="829" t="s">
        <v>155</v>
      </c>
      <c r="BC34" s="829" t="s">
        <v>155</v>
      </c>
      <c r="BD34" s="756" t="s">
        <v>1475</v>
      </c>
      <c r="BE34" s="756" t="s">
        <v>2642</v>
      </c>
      <c r="BF34" s="756" t="s">
        <v>1330</v>
      </c>
      <c r="BG34" s="756">
        <v>9</v>
      </c>
      <c r="BH34" s="756">
        <v>9</v>
      </c>
      <c r="BI34" s="756" t="s">
        <v>52</v>
      </c>
      <c r="BJ34" s="756" t="s">
        <v>1475</v>
      </c>
      <c r="BK34" s="756">
        <v>9</v>
      </c>
      <c r="BL34" s="756" t="s">
        <v>2509</v>
      </c>
      <c r="BN34" s="829" t="s">
        <v>155</v>
      </c>
    </row>
    <row r="35" spans="1:66" ht="11.45" customHeight="1">
      <c r="A35" s="765"/>
      <c r="B35" s="351" t="s">
        <v>164</v>
      </c>
      <c r="C35" s="757" t="s">
        <v>52</v>
      </c>
      <c r="D35" s="831" t="s">
        <v>52</v>
      </c>
      <c r="E35" s="757" t="s">
        <v>52</v>
      </c>
      <c r="F35" s="757" t="s">
        <v>52</v>
      </c>
      <c r="G35" s="757" t="s">
        <v>52</v>
      </c>
      <c r="H35" s="757" t="s">
        <v>52</v>
      </c>
      <c r="I35" s="757" t="s">
        <v>1669</v>
      </c>
      <c r="J35" s="757" t="s">
        <v>52</v>
      </c>
      <c r="K35" s="757" t="s">
        <v>52</v>
      </c>
      <c r="L35" s="757" t="s">
        <v>52</v>
      </c>
      <c r="M35" s="757">
        <v>9</v>
      </c>
      <c r="N35" s="757">
        <v>9</v>
      </c>
      <c r="O35" s="757" t="s">
        <v>52</v>
      </c>
      <c r="P35" s="757" t="s">
        <v>52</v>
      </c>
      <c r="Q35" s="757">
        <v>9</v>
      </c>
      <c r="R35" s="757" t="s">
        <v>52</v>
      </c>
      <c r="S35" s="1464"/>
      <c r="T35" s="351" t="s">
        <v>156</v>
      </c>
      <c r="U35" s="765"/>
      <c r="V35" s="351" t="s">
        <v>156</v>
      </c>
      <c r="W35" s="757" t="s">
        <v>52</v>
      </c>
      <c r="X35" s="757" t="s">
        <v>52</v>
      </c>
      <c r="Y35" s="757" t="s">
        <v>52</v>
      </c>
      <c r="Z35" s="757" t="s">
        <v>52</v>
      </c>
      <c r="AA35" s="757" t="s">
        <v>52</v>
      </c>
      <c r="AB35" s="757" t="s">
        <v>52</v>
      </c>
      <c r="AC35" s="757" t="s">
        <v>52</v>
      </c>
      <c r="AD35" s="757" t="s">
        <v>52</v>
      </c>
      <c r="AE35" s="757" t="s">
        <v>1475</v>
      </c>
      <c r="AF35" s="757" t="s">
        <v>52</v>
      </c>
      <c r="AG35" s="757">
        <v>9</v>
      </c>
      <c r="AH35" s="831" t="s">
        <v>52</v>
      </c>
      <c r="AI35" s="765"/>
      <c r="AJ35" s="351" t="s">
        <v>156</v>
      </c>
      <c r="AK35" s="765"/>
      <c r="AL35" s="351" t="s">
        <v>156</v>
      </c>
      <c r="AM35" s="757" t="s">
        <v>52</v>
      </c>
      <c r="AN35" s="757" t="s">
        <v>52</v>
      </c>
      <c r="AO35" s="831" t="s">
        <v>52</v>
      </c>
      <c r="AP35" s="757" t="s">
        <v>52</v>
      </c>
      <c r="AQ35" s="757" t="s">
        <v>52</v>
      </c>
      <c r="AR35" s="757" t="s">
        <v>52</v>
      </c>
      <c r="AS35" s="757" t="s">
        <v>52</v>
      </c>
      <c r="AT35" s="757" t="s">
        <v>52</v>
      </c>
      <c r="AU35" s="757" t="s">
        <v>52</v>
      </c>
      <c r="AV35" s="757" t="s">
        <v>52</v>
      </c>
      <c r="AW35" s="757" t="s">
        <v>52</v>
      </c>
      <c r="AX35" s="757" t="s">
        <v>52</v>
      </c>
      <c r="AY35" s="757" t="s">
        <v>52</v>
      </c>
      <c r="AZ35" s="765"/>
      <c r="BA35" s="351" t="s">
        <v>156</v>
      </c>
      <c r="BB35" s="765"/>
      <c r="BC35" s="351" t="s">
        <v>156</v>
      </c>
      <c r="BD35" s="757" t="s">
        <v>52</v>
      </c>
      <c r="BE35" s="757" t="s">
        <v>2642</v>
      </c>
      <c r="BF35" s="757" t="s">
        <v>52</v>
      </c>
      <c r="BG35" s="757" t="s">
        <v>52</v>
      </c>
      <c r="BH35" s="757" t="s">
        <v>52</v>
      </c>
      <c r="BI35" s="757" t="s">
        <v>52</v>
      </c>
      <c r="BJ35" s="757" t="s">
        <v>52</v>
      </c>
      <c r="BK35" s="831" t="s">
        <v>52</v>
      </c>
      <c r="BL35" s="757" t="s">
        <v>52</v>
      </c>
      <c r="BM35" s="765"/>
      <c r="BN35" s="351" t="s">
        <v>156</v>
      </c>
    </row>
    <row r="36" spans="1:66" ht="11.45" customHeight="1">
      <c r="A36" s="2241" t="s">
        <v>88</v>
      </c>
      <c r="B36" s="2241"/>
      <c r="C36" s="756" t="s">
        <v>1668</v>
      </c>
      <c r="D36" s="756" t="s">
        <v>1668</v>
      </c>
      <c r="E36" s="756" t="s">
        <v>1668</v>
      </c>
      <c r="F36" s="756" t="s">
        <v>1668</v>
      </c>
      <c r="G36" s="756" t="s">
        <v>1668</v>
      </c>
      <c r="H36" s="756" t="s">
        <v>1668</v>
      </c>
      <c r="I36" s="756">
        <v>7</v>
      </c>
      <c r="J36" s="756" t="s">
        <v>1668</v>
      </c>
      <c r="K36" s="756" t="s">
        <v>52</v>
      </c>
      <c r="L36" s="756">
        <v>5.5</v>
      </c>
      <c r="M36" s="756" t="s">
        <v>1668</v>
      </c>
      <c r="N36" s="756" t="s">
        <v>1668</v>
      </c>
      <c r="O36" s="756" t="s">
        <v>1668</v>
      </c>
      <c r="P36" s="756" t="s">
        <v>1668</v>
      </c>
      <c r="Q36" s="756">
        <v>7</v>
      </c>
      <c r="R36" s="756" t="s">
        <v>1668</v>
      </c>
      <c r="S36" s="2241" t="s">
        <v>88</v>
      </c>
      <c r="T36" s="2241"/>
      <c r="U36" s="2241" t="s">
        <v>88</v>
      </c>
      <c r="V36" s="2241"/>
      <c r="W36" s="756" t="s">
        <v>1668</v>
      </c>
      <c r="X36" s="851" t="s">
        <v>1668</v>
      </c>
      <c r="Y36" s="756" t="s">
        <v>1668</v>
      </c>
      <c r="Z36" s="756">
        <v>7</v>
      </c>
      <c r="AA36" s="756" t="s">
        <v>1668</v>
      </c>
      <c r="AB36" s="756" t="s">
        <v>1668</v>
      </c>
      <c r="AC36" s="756" t="s">
        <v>1668</v>
      </c>
      <c r="AD36" s="756" t="s">
        <v>1668</v>
      </c>
      <c r="AE36" s="756" t="s">
        <v>1668</v>
      </c>
      <c r="AF36" s="756" t="s">
        <v>1668</v>
      </c>
      <c r="AG36" s="756" t="s">
        <v>1668</v>
      </c>
      <c r="AH36" s="756">
        <v>7</v>
      </c>
      <c r="AI36" s="2241" t="s">
        <v>88</v>
      </c>
      <c r="AJ36" s="2241"/>
      <c r="AK36" s="2241" t="s">
        <v>88</v>
      </c>
      <c r="AL36" s="2241"/>
      <c r="AM36" s="756" t="s">
        <v>1668</v>
      </c>
      <c r="AN36" s="756">
        <v>7</v>
      </c>
      <c r="AO36" s="756" t="s">
        <v>1668</v>
      </c>
      <c r="AP36" s="756" t="s">
        <v>1668</v>
      </c>
      <c r="AQ36" s="756" t="s">
        <v>1668</v>
      </c>
      <c r="AR36" s="756" t="s">
        <v>1668</v>
      </c>
      <c r="AS36" s="756" t="s">
        <v>1668</v>
      </c>
      <c r="AT36" s="756">
        <v>7</v>
      </c>
      <c r="AU36" s="756" t="s">
        <v>1668</v>
      </c>
      <c r="AV36" s="756">
        <v>7</v>
      </c>
      <c r="AW36" s="756" t="s">
        <v>52</v>
      </c>
      <c r="AX36" s="756">
        <v>7</v>
      </c>
      <c r="AY36" s="756">
        <v>7</v>
      </c>
      <c r="AZ36" s="2241" t="s">
        <v>88</v>
      </c>
      <c r="BA36" s="2241"/>
      <c r="BB36" s="2241" t="s">
        <v>88</v>
      </c>
      <c r="BC36" s="2241"/>
      <c r="BD36" s="756" t="s">
        <v>1668</v>
      </c>
      <c r="BE36" s="756" t="s">
        <v>1668</v>
      </c>
      <c r="BF36" s="756" t="s">
        <v>2237</v>
      </c>
      <c r="BG36" s="756" t="s">
        <v>1668</v>
      </c>
      <c r="BH36" s="756">
        <v>7</v>
      </c>
      <c r="BI36" s="756" t="s">
        <v>52</v>
      </c>
      <c r="BJ36" s="756" t="s">
        <v>1668</v>
      </c>
      <c r="BK36" s="756" t="s">
        <v>52</v>
      </c>
      <c r="BL36" s="756" t="s">
        <v>1148</v>
      </c>
      <c r="BM36" s="2241" t="s">
        <v>88</v>
      </c>
      <c r="BN36" s="2241"/>
    </row>
    <row r="37" spans="1:66" ht="11.45" customHeight="1">
      <c r="A37" s="2244" t="s">
        <v>167</v>
      </c>
      <c r="B37" s="2244"/>
      <c r="C37" s="757"/>
      <c r="D37" s="757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9"/>
      <c r="R37" s="759"/>
      <c r="S37" s="2244" t="s">
        <v>167</v>
      </c>
      <c r="T37" s="2244"/>
      <c r="U37" s="2244" t="s">
        <v>167</v>
      </c>
      <c r="V37" s="2244"/>
      <c r="W37" s="757"/>
      <c r="X37" s="757"/>
      <c r="Y37" s="757"/>
      <c r="Z37" s="757"/>
      <c r="AA37" s="757"/>
      <c r="AB37" s="759"/>
      <c r="AC37" s="759"/>
      <c r="AD37" s="759"/>
      <c r="AE37" s="759"/>
      <c r="AF37" s="759"/>
      <c r="AG37" s="757"/>
      <c r="AH37" s="759"/>
      <c r="AI37" s="2244" t="s">
        <v>167</v>
      </c>
      <c r="AJ37" s="2244"/>
      <c r="AK37" s="2244" t="s">
        <v>167</v>
      </c>
      <c r="AL37" s="2244"/>
      <c r="AM37" s="759"/>
      <c r="AN37" s="759"/>
      <c r="AO37" s="759"/>
      <c r="AP37" s="757"/>
      <c r="AQ37" s="757"/>
      <c r="AR37" s="757"/>
      <c r="AS37" s="757"/>
      <c r="AT37" s="757"/>
      <c r="AU37" s="757"/>
      <c r="AV37" s="757"/>
      <c r="AW37" s="757"/>
      <c r="AX37" s="757"/>
      <c r="AY37" s="757"/>
      <c r="AZ37" s="2244" t="s">
        <v>167</v>
      </c>
      <c r="BA37" s="2244"/>
      <c r="BB37" s="2244" t="s">
        <v>167</v>
      </c>
      <c r="BC37" s="2244"/>
      <c r="BD37" s="757"/>
      <c r="BE37" s="757"/>
      <c r="BF37" s="757"/>
      <c r="BG37" s="759"/>
      <c r="BH37" s="757"/>
      <c r="BI37" s="757"/>
      <c r="BJ37" s="757"/>
      <c r="BK37" s="757"/>
      <c r="BL37" s="757"/>
      <c r="BM37" s="2244" t="s">
        <v>167</v>
      </c>
      <c r="BN37" s="2244"/>
    </row>
    <row r="38" spans="1:66" ht="11.45" customHeight="1">
      <c r="B38" s="829" t="s">
        <v>155</v>
      </c>
      <c r="C38" s="781" t="s">
        <v>1669</v>
      </c>
      <c r="D38" s="756" t="s">
        <v>1669</v>
      </c>
      <c r="E38" s="756" t="s">
        <v>1474</v>
      </c>
      <c r="F38" s="756">
        <v>9</v>
      </c>
      <c r="G38" s="781">
        <v>9</v>
      </c>
      <c r="H38" s="781" t="s">
        <v>1669</v>
      </c>
      <c r="I38" s="756" t="s">
        <v>1669</v>
      </c>
      <c r="J38" s="756" t="s">
        <v>1669</v>
      </c>
      <c r="K38" s="756" t="s">
        <v>52</v>
      </c>
      <c r="L38" s="756">
        <v>9</v>
      </c>
      <c r="M38" s="756">
        <v>9</v>
      </c>
      <c r="N38" s="756">
        <v>9</v>
      </c>
      <c r="O38" s="781">
        <v>9</v>
      </c>
      <c r="P38" s="756">
        <v>9</v>
      </c>
      <c r="Q38" s="756">
        <v>9</v>
      </c>
      <c r="R38" s="756">
        <v>9</v>
      </c>
      <c r="S38" s="1465"/>
      <c r="T38" s="829" t="s">
        <v>155</v>
      </c>
      <c r="V38" s="829" t="s">
        <v>155</v>
      </c>
      <c r="W38" s="756">
        <v>9</v>
      </c>
      <c r="X38" s="851">
        <v>9</v>
      </c>
      <c r="Y38" s="756">
        <v>9</v>
      </c>
      <c r="Z38" s="756" t="s">
        <v>52</v>
      </c>
      <c r="AA38" s="756" t="s">
        <v>1669</v>
      </c>
      <c r="AB38" s="756">
        <v>9</v>
      </c>
      <c r="AC38" s="756" t="s">
        <v>1330</v>
      </c>
      <c r="AD38" s="756">
        <v>9</v>
      </c>
      <c r="AE38" s="756" t="s">
        <v>1475</v>
      </c>
      <c r="AF38" s="851">
        <v>9</v>
      </c>
      <c r="AG38" s="756">
        <v>9</v>
      </c>
      <c r="AH38" s="756">
        <v>9</v>
      </c>
      <c r="AJ38" s="829" t="s">
        <v>155</v>
      </c>
      <c r="AL38" s="829" t="s">
        <v>155</v>
      </c>
      <c r="AM38" s="756">
        <v>9</v>
      </c>
      <c r="AN38" s="756">
        <v>9</v>
      </c>
      <c r="AO38" s="756" t="s">
        <v>1474</v>
      </c>
      <c r="AP38" s="756">
        <v>9</v>
      </c>
      <c r="AQ38" s="756">
        <v>9</v>
      </c>
      <c r="AR38" s="756">
        <v>9</v>
      </c>
      <c r="AS38" s="756" t="s">
        <v>2510</v>
      </c>
      <c r="AT38" s="756">
        <v>9</v>
      </c>
      <c r="AU38" s="756" t="s">
        <v>1475</v>
      </c>
      <c r="AV38" s="756">
        <v>9</v>
      </c>
      <c r="AW38" s="756" t="s">
        <v>52</v>
      </c>
      <c r="AX38" s="756" t="s">
        <v>1475</v>
      </c>
      <c r="AY38" s="756">
        <v>7</v>
      </c>
      <c r="BA38" s="829" t="s">
        <v>155</v>
      </c>
      <c r="BC38" s="829" t="s">
        <v>155</v>
      </c>
      <c r="BD38" s="756" t="s">
        <v>1475</v>
      </c>
      <c r="BE38" s="756" t="s">
        <v>2133</v>
      </c>
      <c r="BF38" s="756" t="s">
        <v>1330</v>
      </c>
      <c r="BG38" s="756">
        <v>9</v>
      </c>
      <c r="BH38" s="756">
        <v>9</v>
      </c>
      <c r="BI38" s="756" t="s">
        <v>2513</v>
      </c>
      <c r="BJ38" s="756" t="s">
        <v>1474</v>
      </c>
      <c r="BK38" s="756" t="s">
        <v>52</v>
      </c>
      <c r="BL38" s="756" t="s">
        <v>1330</v>
      </c>
      <c r="BN38" s="829" t="s">
        <v>155</v>
      </c>
    </row>
    <row r="39" spans="1:66" ht="11.45" customHeight="1">
      <c r="A39" s="765"/>
      <c r="B39" s="351" t="s">
        <v>156</v>
      </c>
      <c r="C39" s="757" t="s">
        <v>52</v>
      </c>
      <c r="D39" s="757" t="s">
        <v>52</v>
      </c>
      <c r="E39" s="757" t="s">
        <v>52</v>
      </c>
      <c r="F39" s="757" t="s">
        <v>52</v>
      </c>
      <c r="G39" s="757" t="s">
        <v>52</v>
      </c>
      <c r="H39" s="757" t="s">
        <v>52</v>
      </c>
      <c r="I39" s="757" t="s">
        <v>52</v>
      </c>
      <c r="J39" s="757" t="s">
        <v>52</v>
      </c>
      <c r="K39" s="757" t="s">
        <v>52</v>
      </c>
      <c r="L39" s="757">
        <v>9</v>
      </c>
      <c r="M39" s="757">
        <v>9</v>
      </c>
      <c r="N39" s="757">
        <v>9</v>
      </c>
      <c r="O39" s="879">
        <v>9</v>
      </c>
      <c r="P39" s="757" t="s">
        <v>52</v>
      </c>
      <c r="Q39" s="757">
        <v>9</v>
      </c>
      <c r="R39" s="759" t="s">
        <v>52</v>
      </c>
      <c r="S39" s="1464"/>
      <c r="T39" s="351" t="s">
        <v>156</v>
      </c>
      <c r="U39" s="765"/>
      <c r="V39" s="351" t="s">
        <v>156</v>
      </c>
      <c r="W39" s="757" t="s">
        <v>52</v>
      </c>
      <c r="X39" s="757" t="s">
        <v>52</v>
      </c>
      <c r="Y39" s="757" t="s">
        <v>52</v>
      </c>
      <c r="Z39" s="757">
        <v>9</v>
      </c>
      <c r="AA39" s="757" t="s">
        <v>52</v>
      </c>
      <c r="AB39" s="757">
        <v>9</v>
      </c>
      <c r="AC39" s="757" t="s">
        <v>52</v>
      </c>
      <c r="AD39" s="759" t="s">
        <v>52</v>
      </c>
      <c r="AE39" s="1218" t="s">
        <v>52</v>
      </c>
      <c r="AF39" s="759" t="s">
        <v>52</v>
      </c>
      <c r="AG39" s="757">
        <v>9</v>
      </c>
      <c r="AH39" s="831" t="s">
        <v>52</v>
      </c>
      <c r="AI39" s="765"/>
      <c r="AJ39" s="351" t="s">
        <v>156</v>
      </c>
      <c r="AK39" s="765"/>
      <c r="AL39" s="351" t="s">
        <v>156</v>
      </c>
      <c r="AM39" s="757" t="s">
        <v>52</v>
      </c>
      <c r="AN39" s="759" t="s">
        <v>52</v>
      </c>
      <c r="AO39" s="831" t="s">
        <v>52</v>
      </c>
      <c r="AP39" s="757" t="s">
        <v>52</v>
      </c>
      <c r="AQ39" s="757" t="s">
        <v>52</v>
      </c>
      <c r="AR39" s="757">
        <v>9</v>
      </c>
      <c r="AS39" s="757" t="s">
        <v>52</v>
      </c>
      <c r="AT39" s="757" t="s">
        <v>52</v>
      </c>
      <c r="AU39" s="757" t="s">
        <v>52</v>
      </c>
      <c r="AV39" s="757" t="s">
        <v>52</v>
      </c>
      <c r="AW39" s="757" t="s">
        <v>52</v>
      </c>
      <c r="AX39" s="757" t="s">
        <v>1475</v>
      </c>
      <c r="AY39" s="757" t="s">
        <v>52</v>
      </c>
      <c r="AZ39" s="765"/>
      <c r="BA39" s="351" t="s">
        <v>156</v>
      </c>
      <c r="BB39" s="765"/>
      <c r="BC39" s="351" t="s">
        <v>156</v>
      </c>
      <c r="BD39" s="757" t="s">
        <v>52</v>
      </c>
      <c r="BE39" s="757" t="s">
        <v>1330</v>
      </c>
      <c r="BF39" s="757" t="s">
        <v>52</v>
      </c>
      <c r="BG39" s="759" t="s">
        <v>52</v>
      </c>
      <c r="BH39" s="757" t="s">
        <v>52</v>
      </c>
      <c r="BI39" s="757" t="s">
        <v>2513</v>
      </c>
      <c r="BJ39" s="757" t="s">
        <v>52</v>
      </c>
      <c r="BK39" s="757" t="s">
        <v>52</v>
      </c>
      <c r="BL39" s="757" t="s">
        <v>52</v>
      </c>
      <c r="BM39" s="765"/>
      <c r="BN39" s="351" t="s">
        <v>156</v>
      </c>
    </row>
    <row r="40" spans="1:66" ht="11.45" customHeight="1">
      <c r="A40" s="2241" t="s">
        <v>168</v>
      </c>
      <c r="B40" s="2241"/>
      <c r="C40" s="756"/>
      <c r="D40" s="756"/>
      <c r="E40" s="756"/>
      <c r="F40" s="756"/>
      <c r="G40" s="756"/>
      <c r="H40" s="827"/>
      <c r="I40" s="756"/>
      <c r="J40" s="756"/>
      <c r="K40" s="756"/>
      <c r="L40" s="756"/>
      <c r="M40" s="756"/>
      <c r="N40" s="756"/>
      <c r="O40" s="756"/>
      <c r="P40" s="756"/>
      <c r="Q40" s="758"/>
      <c r="R40" s="758"/>
      <c r="S40" s="2241" t="s">
        <v>168</v>
      </c>
      <c r="T40" s="2241"/>
      <c r="U40" s="2241" t="s">
        <v>168</v>
      </c>
      <c r="V40" s="2241"/>
      <c r="W40" s="756"/>
      <c r="X40" s="851"/>
      <c r="Y40" s="756"/>
      <c r="Z40" s="756"/>
      <c r="AA40" s="756"/>
      <c r="AB40" s="758"/>
      <c r="AC40" s="758"/>
      <c r="AD40" s="758"/>
      <c r="AE40" s="758"/>
      <c r="AF40" s="758"/>
      <c r="AG40" s="758"/>
      <c r="AH40" s="756"/>
      <c r="AI40" s="2241" t="s">
        <v>168</v>
      </c>
      <c r="AJ40" s="2241"/>
      <c r="AK40" s="2241" t="s">
        <v>168</v>
      </c>
      <c r="AL40" s="2241"/>
      <c r="AM40" s="756"/>
      <c r="AN40" s="758"/>
      <c r="AO40" s="756"/>
      <c r="AP40" s="756"/>
      <c r="AQ40" s="756"/>
      <c r="AR40" s="756"/>
      <c r="AS40" s="756"/>
      <c r="AT40" s="756"/>
      <c r="AU40" s="756"/>
      <c r="AV40" s="756"/>
      <c r="AW40" s="756"/>
      <c r="AX40" s="756"/>
      <c r="AY40" s="756"/>
      <c r="AZ40" s="2241" t="s">
        <v>168</v>
      </c>
      <c r="BA40" s="2241"/>
      <c r="BB40" s="2241" t="s">
        <v>168</v>
      </c>
      <c r="BC40" s="2241"/>
      <c r="BD40" s="756"/>
      <c r="BE40" s="756"/>
      <c r="BF40" s="756"/>
      <c r="BG40" s="758" t="s">
        <v>678</v>
      </c>
      <c r="BH40" s="756"/>
      <c r="BI40" s="756"/>
      <c r="BJ40" s="756"/>
      <c r="BK40" s="756"/>
      <c r="BL40" s="756"/>
      <c r="BM40" s="2241" t="s">
        <v>168</v>
      </c>
      <c r="BN40" s="2241"/>
    </row>
    <row r="41" spans="1:66" ht="11.45" customHeight="1">
      <c r="A41" s="765"/>
      <c r="B41" s="351" t="s">
        <v>155</v>
      </c>
      <c r="C41" s="879" t="s">
        <v>1669</v>
      </c>
      <c r="D41" s="879" t="s">
        <v>1669</v>
      </c>
      <c r="E41" s="757" t="s">
        <v>1669</v>
      </c>
      <c r="F41" s="757" t="s">
        <v>1472</v>
      </c>
      <c r="G41" s="757">
        <v>9</v>
      </c>
      <c r="H41" s="757" t="s">
        <v>1669</v>
      </c>
      <c r="I41" s="757" t="s">
        <v>52</v>
      </c>
      <c r="J41" s="757" t="s">
        <v>52</v>
      </c>
      <c r="K41" s="757" t="s">
        <v>52</v>
      </c>
      <c r="L41" s="757">
        <v>9</v>
      </c>
      <c r="M41" s="757" t="s">
        <v>2509</v>
      </c>
      <c r="N41" s="757">
        <v>9</v>
      </c>
      <c r="O41" s="757">
        <v>9</v>
      </c>
      <c r="P41" s="757">
        <v>9</v>
      </c>
      <c r="Q41" s="879">
        <v>9</v>
      </c>
      <c r="R41" s="757">
        <v>9</v>
      </c>
      <c r="S41" s="1464"/>
      <c r="T41" s="351" t="s">
        <v>155</v>
      </c>
      <c r="U41" s="765"/>
      <c r="V41" s="351" t="s">
        <v>155</v>
      </c>
      <c r="W41" s="757" t="s">
        <v>2510</v>
      </c>
      <c r="X41" s="757">
        <v>9</v>
      </c>
      <c r="Y41" s="757">
        <v>9</v>
      </c>
      <c r="Z41" s="757">
        <v>9</v>
      </c>
      <c r="AA41" s="757" t="s">
        <v>1669</v>
      </c>
      <c r="AB41" s="757">
        <v>9</v>
      </c>
      <c r="AC41" s="757" t="s">
        <v>1330</v>
      </c>
      <c r="AD41" s="757">
        <v>9</v>
      </c>
      <c r="AE41" s="757" t="s">
        <v>1475</v>
      </c>
      <c r="AF41" s="757" t="s">
        <v>2572</v>
      </c>
      <c r="AG41" s="757">
        <v>9</v>
      </c>
      <c r="AH41" s="757">
        <v>9</v>
      </c>
      <c r="AI41" s="765"/>
      <c r="AJ41" s="351" t="s">
        <v>155</v>
      </c>
      <c r="AK41" s="765"/>
      <c r="AL41" s="351" t="s">
        <v>155</v>
      </c>
      <c r="AM41" s="757">
        <v>9</v>
      </c>
      <c r="AN41" s="757">
        <v>9</v>
      </c>
      <c r="AO41" s="757" t="s">
        <v>2509</v>
      </c>
      <c r="AP41" s="757">
        <v>9</v>
      </c>
      <c r="AQ41" s="757">
        <v>9</v>
      </c>
      <c r="AR41" s="757">
        <v>9</v>
      </c>
      <c r="AS41" s="757" t="s">
        <v>2512</v>
      </c>
      <c r="AT41" s="757" t="s">
        <v>2510</v>
      </c>
      <c r="AU41" s="757" t="s">
        <v>1475</v>
      </c>
      <c r="AV41" s="757">
        <v>9</v>
      </c>
      <c r="AW41" s="757" t="s">
        <v>2509</v>
      </c>
      <c r="AX41" s="757">
        <v>9</v>
      </c>
      <c r="AY41" s="757">
        <v>9</v>
      </c>
      <c r="AZ41" s="765"/>
      <c r="BA41" s="351" t="s">
        <v>155</v>
      </c>
      <c r="BB41" s="765"/>
      <c r="BC41" s="351" t="s">
        <v>155</v>
      </c>
      <c r="BD41" s="757" t="s">
        <v>1475</v>
      </c>
      <c r="BE41" s="757" t="s">
        <v>2563</v>
      </c>
      <c r="BF41" s="757" t="s">
        <v>1330</v>
      </c>
      <c r="BG41" s="826" t="s">
        <v>52</v>
      </c>
      <c r="BH41" s="757">
        <v>9</v>
      </c>
      <c r="BI41" s="757" t="s">
        <v>52</v>
      </c>
      <c r="BJ41" s="757" t="s">
        <v>2590</v>
      </c>
      <c r="BK41" s="757">
        <v>9</v>
      </c>
      <c r="BL41" s="757" t="s">
        <v>52</v>
      </c>
      <c r="BM41" s="765"/>
      <c r="BN41" s="351" t="s">
        <v>155</v>
      </c>
    </row>
    <row r="42" spans="1:66" ht="11.45" customHeight="1">
      <c r="B42" s="829" t="s">
        <v>156</v>
      </c>
      <c r="C42" s="781" t="s">
        <v>52</v>
      </c>
      <c r="D42" s="1215" t="s">
        <v>1669</v>
      </c>
      <c r="E42" s="756" t="s">
        <v>52</v>
      </c>
      <c r="F42" s="756" t="s">
        <v>52</v>
      </c>
      <c r="G42" s="756" t="s">
        <v>52</v>
      </c>
      <c r="H42" s="827" t="s">
        <v>52</v>
      </c>
      <c r="I42" s="756" t="s">
        <v>52</v>
      </c>
      <c r="J42" s="756" t="s">
        <v>52</v>
      </c>
      <c r="K42" s="756" t="s">
        <v>52</v>
      </c>
      <c r="L42" s="756">
        <v>9</v>
      </c>
      <c r="M42" s="756" t="s">
        <v>52</v>
      </c>
      <c r="N42" s="756" t="s">
        <v>52</v>
      </c>
      <c r="O42" s="756">
        <v>9</v>
      </c>
      <c r="P42" s="758" t="s">
        <v>52</v>
      </c>
      <c r="Q42" s="756" t="s">
        <v>52</v>
      </c>
      <c r="R42" s="756" t="s">
        <v>52</v>
      </c>
      <c r="S42" s="1465"/>
      <c r="T42" s="829" t="s">
        <v>156</v>
      </c>
      <c r="V42" s="829" t="s">
        <v>156</v>
      </c>
      <c r="W42" s="756" t="s">
        <v>52</v>
      </c>
      <c r="X42" s="851" t="s">
        <v>52</v>
      </c>
      <c r="Y42" s="756" t="s">
        <v>52</v>
      </c>
      <c r="Z42" s="756" t="s">
        <v>52</v>
      </c>
      <c r="AA42" s="756" t="s">
        <v>52</v>
      </c>
      <c r="AB42" s="756">
        <v>9</v>
      </c>
      <c r="AC42" s="756" t="s">
        <v>52</v>
      </c>
      <c r="AD42" s="756" t="s">
        <v>52</v>
      </c>
      <c r="AE42" s="756" t="s">
        <v>52</v>
      </c>
      <c r="AF42" s="756" t="s">
        <v>52</v>
      </c>
      <c r="AG42" s="756">
        <v>9</v>
      </c>
      <c r="AH42" s="830" t="s">
        <v>52</v>
      </c>
      <c r="AJ42" s="829" t="s">
        <v>156</v>
      </c>
      <c r="AL42" s="829" t="s">
        <v>156</v>
      </c>
      <c r="AM42" s="756">
        <v>9</v>
      </c>
      <c r="AN42" s="756">
        <v>9</v>
      </c>
      <c r="AO42" s="830" t="s">
        <v>52</v>
      </c>
      <c r="AP42" s="756" t="s">
        <v>52</v>
      </c>
      <c r="AQ42" s="756" t="s">
        <v>52</v>
      </c>
      <c r="AR42" s="756" t="s">
        <v>52</v>
      </c>
      <c r="AS42" s="756" t="s">
        <v>52</v>
      </c>
      <c r="AT42" s="756" t="s">
        <v>52</v>
      </c>
      <c r="AU42" s="756" t="s">
        <v>52</v>
      </c>
      <c r="AV42" s="756" t="s">
        <v>52</v>
      </c>
      <c r="AW42" s="756" t="s">
        <v>52</v>
      </c>
      <c r="AX42" s="756" t="s">
        <v>52</v>
      </c>
      <c r="AY42" s="756" t="s">
        <v>52</v>
      </c>
      <c r="BA42" s="829" t="s">
        <v>156</v>
      </c>
      <c r="BC42" s="829" t="s">
        <v>156</v>
      </c>
      <c r="BD42" s="756" t="s">
        <v>52</v>
      </c>
      <c r="BE42" s="827" t="s">
        <v>52</v>
      </c>
      <c r="BF42" s="756" t="s">
        <v>52</v>
      </c>
      <c r="BG42" s="758" t="s">
        <v>52</v>
      </c>
      <c r="BH42" s="756" t="s">
        <v>52</v>
      </c>
      <c r="BI42" s="756" t="s">
        <v>52</v>
      </c>
      <c r="BJ42" s="756" t="s">
        <v>52</v>
      </c>
      <c r="BK42" s="830" t="s">
        <v>52</v>
      </c>
      <c r="BL42" s="830"/>
      <c r="BN42" s="829" t="s">
        <v>156</v>
      </c>
    </row>
    <row r="43" spans="1:66" ht="11.45" customHeight="1">
      <c r="A43" s="2244" t="s">
        <v>169</v>
      </c>
      <c r="B43" s="2244"/>
      <c r="C43" s="757"/>
      <c r="D43" s="757"/>
      <c r="E43" s="757"/>
      <c r="F43" s="757"/>
      <c r="G43" s="757"/>
      <c r="H43" s="757"/>
      <c r="I43" s="757"/>
      <c r="J43" s="757"/>
      <c r="K43" s="757"/>
      <c r="L43" s="757"/>
      <c r="M43" s="757"/>
      <c r="N43" s="757"/>
      <c r="O43" s="757"/>
      <c r="P43" s="759"/>
      <c r="Q43" s="757"/>
      <c r="R43" s="759"/>
      <c r="S43" s="2244" t="s">
        <v>169</v>
      </c>
      <c r="T43" s="2244"/>
      <c r="U43" s="2244" t="s">
        <v>169</v>
      </c>
      <c r="V43" s="2244"/>
      <c r="W43" s="757"/>
      <c r="X43" s="757"/>
      <c r="Y43" s="757"/>
      <c r="Z43" s="757"/>
      <c r="AA43" s="757"/>
      <c r="AB43" s="757"/>
      <c r="AC43" s="757"/>
      <c r="AD43" s="757"/>
      <c r="AE43" s="757"/>
      <c r="AF43" s="757"/>
      <c r="AG43" s="757"/>
      <c r="AH43" s="757"/>
      <c r="AI43" s="2244" t="s">
        <v>169</v>
      </c>
      <c r="AJ43" s="2244"/>
      <c r="AK43" s="2244" t="s">
        <v>169</v>
      </c>
      <c r="AL43" s="2244"/>
      <c r="AM43" s="757"/>
      <c r="AN43" s="759"/>
      <c r="AO43" s="759"/>
      <c r="AP43" s="757"/>
      <c r="AQ43" s="757"/>
      <c r="AR43" s="757"/>
      <c r="AS43" s="757"/>
      <c r="AT43" s="757"/>
      <c r="AU43" s="757"/>
      <c r="AV43" s="757"/>
      <c r="AW43" s="757"/>
      <c r="AX43" s="757"/>
      <c r="AY43" s="757"/>
      <c r="AZ43" s="2244" t="s">
        <v>169</v>
      </c>
      <c r="BA43" s="2244"/>
      <c r="BB43" s="2244" t="s">
        <v>169</v>
      </c>
      <c r="BC43" s="2244"/>
      <c r="BD43" s="757"/>
      <c r="BE43" s="757"/>
      <c r="BF43" s="757"/>
      <c r="BG43" s="759"/>
      <c r="BH43" s="757"/>
      <c r="BI43" s="757"/>
      <c r="BJ43" s="757"/>
      <c r="BK43" s="757"/>
      <c r="BL43" s="757"/>
      <c r="BM43" s="2244" t="s">
        <v>169</v>
      </c>
      <c r="BN43" s="2244"/>
    </row>
    <row r="44" spans="1:66" s="13" customFormat="1" ht="11.45" customHeight="1">
      <c r="A44" s="8"/>
      <c r="B44" s="829" t="s">
        <v>155</v>
      </c>
      <c r="C44" s="756">
        <v>9</v>
      </c>
      <c r="D44" s="756">
        <v>9</v>
      </c>
      <c r="E44" s="756">
        <v>9</v>
      </c>
      <c r="F44" s="756">
        <v>9</v>
      </c>
      <c r="G44" s="756">
        <v>9</v>
      </c>
      <c r="H44" s="830" t="s">
        <v>52</v>
      </c>
      <c r="I44" s="756" t="s">
        <v>1669</v>
      </c>
      <c r="J44" s="756">
        <v>9</v>
      </c>
      <c r="K44" s="756" t="s">
        <v>52</v>
      </c>
      <c r="L44" s="756">
        <v>9</v>
      </c>
      <c r="M44" s="756">
        <v>9</v>
      </c>
      <c r="N44" s="756">
        <v>9</v>
      </c>
      <c r="O44" s="781">
        <v>9</v>
      </c>
      <c r="P44" s="756">
        <v>9</v>
      </c>
      <c r="Q44" s="756">
        <v>9</v>
      </c>
      <c r="R44" s="781" t="s">
        <v>2512</v>
      </c>
      <c r="S44" s="1465"/>
      <c r="T44" s="829" t="s">
        <v>155</v>
      </c>
      <c r="U44" s="8"/>
      <c r="V44" s="829" t="s">
        <v>155</v>
      </c>
      <c r="W44" s="851" t="s">
        <v>2699</v>
      </c>
      <c r="X44" s="851">
        <v>9</v>
      </c>
      <c r="Y44" s="756">
        <v>9</v>
      </c>
      <c r="Z44" s="756">
        <v>9</v>
      </c>
      <c r="AA44" s="756">
        <v>9</v>
      </c>
      <c r="AB44" s="756" t="s">
        <v>1474</v>
      </c>
      <c r="AC44" s="756" t="s">
        <v>1475</v>
      </c>
      <c r="AD44" s="756">
        <v>9</v>
      </c>
      <c r="AE44" s="756" t="s">
        <v>1475</v>
      </c>
      <c r="AF44" s="851" t="s">
        <v>2510</v>
      </c>
      <c r="AG44" s="756">
        <v>9</v>
      </c>
      <c r="AH44" s="756">
        <v>9</v>
      </c>
      <c r="AI44" s="8"/>
      <c r="AJ44" s="829" t="s">
        <v>155</v>
      </c>
      <c r="AK44" s="8"/>
      <c r="AL44" s="829" t="s">
        <v>155</v>
      </c>
      <c r="AM44" s="756">
        <v>9</v>
      </c>
      <c r="AN44" s="756">
        <v>9</v>
      </c>
      <c r="AO44" s="756" t="s">
        <v>1475</v>
      </c>
      <c r="AP44" s="756">
        <v>9</v>
      </c>
      <c r="AQ44" s="756">
        <v>9</v>
      </c>
      <c r="AR44" s="756">
        <v>9</v>
      </c>
      <c r="AS44" s="756" t="s">
        <v>2512</v>
      </c>
      <c r="AT44" s="756">
        <v>9</v>
      </c>
      <c r="AU44" s="756" t="s">
        <v>1475</v>
      </c>
      <c r="AV44" s="756">
        <v>9</v>
      </c>
      <c r="AW44" s="756" t="s">
        <v>1475</v>
      </c>
      <c r="AX44" s="756">
        <v>9</v>
      </c>
      <c r="AY44" s="756">
        <v>9</v>
      </c>
      <c r="AZ44" s="8"/>
      <c r="BA44" s="829" t="s">
        <v>155</v>
      </c>
      <c r="BB44" s="8"/>
      <c r="BC44" s="829" t="s">
        <v>155</v>
      </c>
      <c r="BD44" s="756">
        <v>9</v>
      </c>
      <c r="BE44" s="756" t="s">
        <v>1330</v>
      </c>
      <c r="BF44" s="756" t="s">
        <v>1330</v>
      </c>
      <c r="BG44" s="756" t="s">
        <v>52</v>
      </c>
      <c r="BH44" s="756">
        <v>6.75</v>
      </c>
      <c r="BI44" s="756" t="s">
        <v>52</v>
      </c>
      <c r="BJ44" s="756" t="s">
        <v>2590</v>
      </c>
      <c r="BK44" s="756">
        <v>9</v>
      </c>
      <c r="BL44" s="756" t="s">
        <v>52</v>
      </c>
      <c r="BM44" s="8"/>
      <c r="BN44" s="829" t="s">
        <v>155</v>
      </c>
    </row>
    <row r="45" spans="1:66" ht="11.45" customHeight="1">
      <c r="A45" s="765"/>
      <c r="B45" s="351" t="s">
        <v>156</v>
      </c>
      <c r="C45" s="757" t="s">
        <v>52</v>
      </c>
      <c r="D45" s="757" t="s">
        <v>52</v>
      </c>
      <c r="E45" s="757">
        <v>9</v>
      </c>
      <c r="F45" s="757" t="s">
        <v>52</v>
      </c>
      <c r="G45" s="757" t="s">
        <v>52</v>
      </c>
      <c r="H45" s="757">
        <v>9</v>
      </c>
      <c r="I45" s="757" t="s">
        <v>52</v>
      </c>
      <c r="J45" s="757" t="s">
        <v>52</v>
      </c>
      <c r="K45" s="757" t="s">
        <v>52</v>
      </c>
      <c r="L45" s="757">
        <v>9</v>
      </c>
      <c r="M45" s="757">
        <v>9</v>
      </c>
      <c r="N45" s="757" t="s">
        <v>52</v>
      </c>
      <c r="O45" s="879">
        <v>9</v>
      </c>
      <c r="P45" s="759" t="s">
        <v>52</v>
      </c>
      <c r="Q45" s="759" t="s">
        <v>52</v>
      </c>
      <c r="R45" s="759" t="s">
        <v>52</v>
      </c>
      <c r="S45" s="1464"/>
      <c r="T45" s="351" t="s">
        <v>156</v>
      </c>
      <c r="U45" s="765"/>
      <c r="V45" s="351" t="s">
        <v>156</v>
      </c>
      <c r="W45" s="757" t="s">
        <v>52</v>
      </c>
      <c r="X45" s="757" t="s">
        <v>52</v>
      </c>
      <c r="Y45" s="757" t="s">
        <v>52</v>
      </c>
      <c r="Z45" s="757" t="s">
        <v>52</v>
      </c>
      <c r="AA45" s="757" t="s">
        <v>52</v>
      </c>
      <c r="AB45" s="757" t="s">
        <v>2510</v>
      </c>
      <c r="AC45" s="757" t="s">
        <v>52</v>
      </c>
      <c r="AD45" s="757" t="s">
        <v>52</v>
      </c>
      <c r="AE45" s="757" t="s">
        <v>52</v>
      </c>
      <c r="AF45" s="757" t="s">
        <v>52</v>
      </c>
      <c r="AG45" s="757">
        <v>9</v>
      </c>
      <c r="AH45" s="831" t="s">
        <v>52</v>
      </c>
      <c r="AI45" s="765"/>
      <c r="AJ45" s="351" t="s">
        <v>156</v>
      </c>
      <c r="AK45" s="765"/>
      <c r="AL45" s="351" t="s">
        <v>156</v>
      </c>
      <c r="AM45" s="757" t="s">
        <v>52</v>
      </c>
      <c r="AN45" s="757" t="s">
        <v>52</v>
      </c>
      <c r="AO45" s="831" t="s">
        <v>52</v>
      </c>
      <c r="AP45" s="757" t="s">
        <v>52</v>
      </c>
      <c r="AQ45" s="757" t="s">
        <v>52</v>
      </c>
      <c r="AR45" s="831" t="s">
        <v>52</v>
      </c>
      <c r="AS45" s="757" t="s">
        <v>52</v>
      </c>
      <c r="AT45" s="757" t="s">
        <v>52</v>
      </c>
      <c r="AU45" s="757" t="s">
        <v>52</v>
      </c>
      <c r="AV45" s="757" t="s">
        <v>52</v>
      </c>
      <c r="AW45" s="757" t="s">
        <v>52</v>
      </c>
      <c r="AX45" s="757" t="s">
        <v>52</v>
      </c>
      <c r="AY45" s="757" t="s">
        <v>52</v>
      </c>
      <c r="AZ45" s="765"/>
      <c r="BA45" s="351" t="s">
        <v>156</v>
      </c>
      <c r="BB45" s="765"/>
      <c r="BC45" s="351" t="s">
        <v>156</v>
      </c>
      <c r="BD45" s="757" t="s">
        <v>52</v>
      </c>
      <c r="BE45" s="757" t="s">
        <v>1330</v>
      </c>
      <c r="BF45" s="757" t="s">
        <v>52</v>
      </c>
      <c r="BG45" s="759" t="s">
        <v>52</v>
      </c>
      <c r="BH45" s="757" t="s">
        <v>52</v>
      </c>
      <c r="BI45" s="757" t="s">
        <v>52</v>
      </c>
      <c r="BJ45" s="757" t="s">
        <v>52</v>
      </c>
      <c r="BK45" s="831" t="s">
        <v>52</v>
      </c>
      <c r="BL45" s="757" t="s">
        <v>52</v>
      </c>
      <c r="BM45" s="765"/>
      <c r="BN45" s="351" t="s">
        <v>156</v>
      </c>
    </row>
    <row r="46" spans="1:66" ht="11.45" customHeight="1">
      <c r="A46" s="2241" t="s">
        <v>170</v>
      </c>
      <c r="B46" s="2241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6"/>
      <c r="P46" s="758"/>
      <c r="Q46" s="758"/>
      <c r="R46" s="758"/>
      <c r="S46" s="2241" t="s">
        <v>170</v>
      </c>
      <c r="T46" s="2241"/>
      <c r="U46" s="2241" t="s">
        <v>170</v>
      </c>
      <c r="V46" s="2241"/>
      <c r="W46" s="756"/>
      <c r="X46" s="851"/>
      <c r="Y46" s="756"/>
      <c r="Z46" s="756"/>
      <c r="AA46" s="756"/>
      <c r="AB46" s="756"/>
      <c r="AC46" s="756"/>
      <c r="AD46" s="756"/>
      <c r="AE46" s="756"/>
      <c r="AF46" s="756"/>
      <c r="AG46" s="756"/>
      <c r="AH46" s="756"/>
      <c r="AI46" s="2241" t="s">
        <v>170</v>
      </c>
      <c r="AJ46" s="2241"/>
      <c r="AK46" s="2241" t="s">
        <v>170</v>
      </c>
      <c r="AL46" s="2241"/>
      <c r="AM46" s="756"/>
      <c r="AN46" s="756"/>
      <c r="AO46" s="756"/>
      <c r="AP46" s="756"/>
      <c r="AQ46" s="756"/>
      <c r="AR46" s="756"/>
      <c r="AS46" s="756"/>
      <c r="AT46" s="756"/>
      <c r="AU46" s="756"/>
      <c r="AV46" s="756"/>
      <c r="AW46" s="756"/>
      <c r="AX46" s="756"/>
      <c r="AY46" s="756"/>
      <c r="AZ46" s="2241" t="s">
        <v>170</v>
      </c>
      <c r="BA46" s="2241"/>
      <c r="BB46" s="2241" t="s">
        <v>170</v>
      </c>
      <c r="BC46" s="2241"/>
      <c r="BD46" s="756"/>
      <c r="BE46" s="756"/>
      <c r="BF46" s="756"/>
      <c r="BG46" s="758"/>
      <c r="BH46" s="756"/>
      <c r="BI46" s="756"/>
      <c r="BJ46" s="756"/>
      <c r="BK46" s="756"/>
      <c r="BL46" s="756"/>
      <c r="BM46" s="2241" t="s">
        <v>170</v>
      </c>
      <c r="BN46" s="2241"/>
    </row>
    <row r="47" spans="1:66" s="9" customFormat="1" ht="11.45" customHeight="1">
      <c r="A47" s="332"/>
      <c r="B47" s="351" t="s">
        <v>155</v>
      </c>
      <c r="C47" s="757" t="s">
        <v>52</v>
      </c>
      <c r="D47" s="879">
        <v>9</v>
      </c>
      <c r="E47" s="879">
        <v>9</v>
      </c>
      <c r="F47" s="757" t="s">
        <v>1717</v>
      </c>
      <c r="G47" s="757">
        <v>9</v>
      </c>
      <c r="H47" s="757">
        <v>9</v>
      </c>
      <c r="I47" s="757" t="s">
        <v>52</v>
      </c>
      <c r="J47" s="757" t="s">
        <v>1669</v>
      </c>
      <c r="K47" s="757">
        <v>9</v>
      </c>
      <c r="L47" s="757">
        <v>9</v>
      </c>
      <c r="M47" s="782">
        <v>9</v>
      </c>
      <c r="N47" s="782">
        <v>9</v>
      </c>
      <c r="O47" s="879">
        <v>9</v>
      </c>
      <c r="P47" s="757">
        <v>9</v>
      </c>
      <c r="Q47" s="757">
        <v>9</v>
      </c>
      <c r="R47" s="757">
        <v>9</v>
      </c>
      <c r="S47" s="438"/>
      <c r="T47" s="351" t="s">
        <v>155</v>
      </c>
      <c r="U47" s="332"/>
      <c r="V47" s="351" t="s">
        <v>155</v>
      </c>
      <c r="W47" s="757">
        <v>9</v>
      </c>
      <c r="X47" s="757">
        <v>9</v>
      </c>
      <c r="Y47" s="757">
        <v>9</v>
      </c>
      <c r="Z47" s="757">
        <v>9</v>
      </c>
      <c r="AA47" s="757" t="s">
        <v>2403</v>
      </c>
      <c r="AB47" s="757" t="s">
        <v>1330</v>
      </c>
      <c r="AC47" s="757" t="s">
        <v>2105</v>
      </c>
      <c r="AD47" s="757" t="s">
        <v>1669</v>
      </c>
      <c r="AE47" s="757" t="s">
        <v>1475</v>
      </c>
      <c r="AF47" s="757">
        <v>9</v>
      </c>
      <c r="AG47" s="757">
        <v>9</v>
      </c>
      <c r="AH47" s="757">
        <v>9</v>
      </c>
      <c r="AI47" s="332"/>
      <c r="AJ47" s="351" t="s">
        <v>155</v>
      </c>
      <c r="AK47" s="332"/>
      <c r="AL47" s="351" t="s">
        <v>155</v>
      </c>
      <c r="AM47" s="757">
        <v>9</v>
      </c>
      <c r="AN47" s="757" t="s">
        <v>2643</v>
      </c>
      <c r="AO47" s="757" t="s">
        <v>1330</v>
      </c>
      <c r="AP47" s="757">
        <v>9</v>
      </c>
      <c r="AQ47" s="757">
        <v>9</v>
      </c>
      <c r="AR47" s="757" t="s">
        <v>1669</v>
      </c>
      <c r="AS47" s="757">
        <v>9</v>
      </c>
      <c r="AT47" s="757">
        <v>9</v>
      </c>
      <c r="AU47" s="757" t="s">
        <v>1475</v>
      </c>
      <c r="AV47" s="757">
        <v>9</v>
      </c>
      <c r="AW47" s="757" t="s">
        <v>1474</v>
      </c>
      <c r="AX47" s="757">
        <v>9</v>
      </c>
      <c r="AY47" s="757">
        <v>9</v>
      </c>
      <c r="AZ47" s="332"/>
      <c r="BA47" s="351" t="s">
        <v>155</v>
      </c>
      <c r="BB47" s="332"/>
      <c r="BC47" s="351" t="s">
        <v>155</v>
      </c>
      <c r="BD47" s="757" t="s">
        <v>52</v>
      </c>
      <c r="BE47" s="757" t="s">
        <v>2164</v>
      </c>
      <c r="BF47" s="757" t="s">
        <v>2163</v>
      </c>
      <c r="BG47" s="757">
        <v>9</v>
      </c>
      <c r="BH47" s="757" t="s">
        <v>52</v>
      </c>
      <c r="BI47" s="757" t="s">
        <v>2105</v>
      </c>
      <c r="BJ47" s="757" t="s">
        <v>52</v>
      </c>
      <c r="BK47" s="757" t="s">
        <v>1474</v>
      </c>
      <c r="BL47" s="757" t="s">
        <v>52</v>
      </c>
      <c r="BM47" s="332"/>
      <c r="BN47" s="351" t="s">
        <v>155</v>
      </c>
    </row>
    <row r="48" spans="1:66" s="274" customFormat="1" ht="11.45" customHeight="1" thickBot="1">
      <c r="A48" s="551"/>
      <c r="B48" s="817" t="s">
        <v>156</v>
      </c>
      <c r="C48" s="780">
        <v>9</v>
      </c>
      <c r="D48" s="1216" t="s">
        <v>52</v>
      </c>
      <c r="E48" s="780" t="s">
        <v>52</v>
      </c>
      <c r="F48" s="1217" t="s">
        <v>52</v>
      </c>
      <c r="G48" s="837" t="s">
        <v>52</v>
      </c>
      <c r="H48" s="837" t="s">
        <v>52</v>
      </c>
      <c r="I48" s="780" t="s">
        <v>1472</v>
      </c>
      <c r="J48" s="837" t="s">
        <v>52</v>
      </c>
      <c r="K48" s="837" t="s">
        <v>1472</v>
      </c>
      <c r="L48" s="780">
        <v>9</v>
      </c>
      <c r="M48" s="838">
        <v>9</v>
      </c>
      <c r="N48" s="780">
        <v>9</v>
      </c>
      <c r="O48" s="1185" t="s">
        <v>52</v>
      </c>
      <c r="P48" s="839" t="s">
        <v>52</v>
      </c>
      <c r="Q48" s="839" t="s">
        <v>52</v>
      </c>
      <c r="R48" s="780" t="s">
        <v>52</v>
      </c>
      <c r="S48" s="1432"/>
      <c r="T48" s="817" t="s">
        <v>156</v>
      </c>
      <c r="U48" s="551"/>
      <c r="V48" s="817" t="s">
        <v>156</v>
      </c>
      <c r="W48" s="780" t="s">
        <v>52</v>
      </c>
      <c r="X48" s="780" t="s">
        <v>52</v>
      </c>
      <c r="Y48" s="839" t="s">
        <v>52</v>
      </c>
      <c r="Z48" s="780" t="s">
        <v>52</v>
      </c>
      <c r="AA48" s="839" t="s">
        <v>52</v>
      </c>
      <c r="AB48" s="839" t="s">
        <v>52</v>
      </c>
      <c r="AC48" s="839" t="s">
        <v>1330</v>
      </c>
      <c r="AD48" s="780">
        <v>9</v>
      </c>
      <c r="AE48" s="839" t="s">
        <v>52</v>
      </c>
      <c r="AF48" s="839" t="s">
        <v>52</v>
      </c>
      <c r="AG48" s="780">
        <v>9</v>
      </c>
      <c r="AH48" s="838" t="s">
        <v>52</v>
      </c>
      <c r="AI48" s="551"/>
      <c r="AJ48" s="817" t="s">
        <v>156</v>
      </c>
      <c r="AK48" s="551"/>
      <c r="AL48" s="817" t="s">
        <v>156</v>
      </c>
      <c r="AM48" s="780" t="s">
        <v>52</v>
      </c>
      <c r="AN48" s="839" t="s">
        <v>52</v>
      </c>
      <c r="AO48" s="839" t="s">
        <v>52</v>
      </c>
      <c r="AP48" s="839" t="s">
        <v>52</v>
      </c>
      <c r="AQ48" s="839" t="s">
        <v>52</v>
      </c>
      <c r="AR48" s="780">
        <v>9</v>
      </c>
      <c r="AS48" s="839" t="s">
        <v>52</v>
      </c>
      <c r="AT48" s="839" t="s">
        <v>52</v>
      </c>
      <c r="AU48" s="838" t="s">
        <v>52</v>
      </c>
      <c r="AV48" s="780">
        <v>9</v>
      </c>
      <c r="AW48" s="839" t="s">
        <v>52</v>
      </c>
      <c r="AX48" s="780" t="s">
        <v>2511</v>
      </c>
      <c r="AY48" s="839" t="s">
        <v>52</v>
      </c>
      <c r="AZ48" s="551"/>
      <c r="BA48" s="817" t="s">
        <v>156</v>
      </c>
      <c r="BB48" s="551"/>
      <c r="BC48" s="817" t="s">
        <v>156</v>
      </c>
      <c r="BD48" s="780" t="s">
        <v>52</v>
      </c>
      <c r="BE48" s="780" t="s">
        <v>2642</v>
      </c>
      <c r="BF48" s="780" t="s">
        <v>52</v>
      </c>
      <c r="BG48" s="839" t="s">
        <v>52</v>
      </c>
      <c r="BH48" s="839" t="s">
        <v>52</v>
      </c>
      <c r="BI48" s="780" t="s">
        <v>1330</v>
      </c>
      <c r="BJ48" s="780" t="s">
        <v>52</v>
      </c>
      <c r="BK48" s="838" t="s">
        <v>52</v>
      </c>
      <c r="BL48" s="780" t="s">
        <v>52</v>
      </c>
      <c r="BM48" s="551"/>
      <c r="BN48" s="817" t="s">
        <v>156</v>
      </c>
    </row>
    <row r="49" spans="1:66" ht="10.5" customHeight="1">
      <c r="A49" s="2268" t="s">
        <v>1374</v>
      </c>
      <c r="B49" s="2268"/>
      <c r="C49" s="2268"/>
      <c r="D49" s="2268"/>
      <c r="E49" s="2268"/>
      <c r="F49" s="2268"/>
      <c r="G49" s="2268"/>
      <c r="H49" s="2268"/>
      <c r="I49" s="2268"/>
      <c r="J49" s="2268"/>
      <c r="K49" s="821"/>
      <c r="L49" s="1450"/>
      <c r="M49" s="1450"/>
      <c r="N49" s="1450"/>
      <c r="O49" s="1450"/>
      <c r="P49" s="1450"/>
      <c r="Q49" s="1450"/>
      <c r="R49" s="1450"/>
      <c r="S49" s="1450"/>
      <c r="T49" s="1450"/>
      <c r="U49" s="2245" t="s">
        <v>1374</v>
      </c>
      <c r="V49" s="2245"/>
      <c r="W49" s="2245"/>
      <c r="X49" s="2245"/>
      <c r="Y49" s="2245"/>
      <c r="Z49" s="840"/>
      <c r="AA49" s="841"/>
      <c r="AB49" s="841"/>
      <c r="AC49" s="841"/>
      <c r="AD49" s="841"/>
      <c r="AE49" s="841"/>
      <c r="AF49" s="841"/>
      <c r="AG49" s="841"/>
      <c r="AH49" s="841"/>
      <c r="AK49" s="2245" t="s">
        <v>1374</v>
      </c>
      <c r="AL49" s="2245"/>
      <c r="AM49" s="2245"/>
      <c r="AN49" s="2245"/>
      <c r="BB49" s="2245" t="s">
        <v>1670</v>
      </c>
      <c r="BC49" s="2245"/>
      <c r="BD49" s="2245"/>
      <c r="BE49" s="2245"/>
      <c r="BF49" s="2245"/>
    </row>
    <row r="50" spans="1:66" ht="9" customHeight="1">
      <c r="B50" s="13" t="s">
        <v>159</v>
      </c>
      <c r="V50" s="13" t="s">
        <v>159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159</v>
      </c>
      <c r="AM50" s="28"/>
      <c r="AN50" s="28"/>
      <c r="BC50" s="13" t="s">
        <v>159</v>
      </c>
      <c r="BD50" s="28"/>
      <c r="BE50" s="28"/>
      <c r="BF50" s="28"/>
      <c r="BN50" s="13" t="s">
        <v>678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45" firstPageNumber="66" orientation="portrait" useFirstPageNumber="1" r:id="rId2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O27" sqref="O27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70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80" t="s">
        <v>2450</v>
      </c>
      <c r="B1" s="2281"/>
      <c r="C1" s="2281"/>
      <c r="D1" s="2281"/>
      <c r="E1" s="2281"/>
      <c r="F1" s="2281"/>
      <c r="G1" s="2281"/>
      <c r="H1" s="2281"/>
      <c r="I1" s="2281"/>
      <c r="L1" s="2274" t="s">
        <v>1210</v>
      </c>
      <c r="M1" s="2274"/>
    </row>
    <row r="2" spans="1:15" s="5" customFormat="1" ht="11.25" customHeight="1">
      <c r="B2" s="1269"/>
      <c r="C2" s="1269"/>
      <c r="D2" s="1269"/>
      <c r="E2" s="1269"/>
      <c r="F2" s="1269"/>
      <c r="G2" s="1206"/>
      <c r="H2" s="1265"/>
      <c r="I2" s="1265"/>
      <c r="L2" s="2275" t="s">
        <v>554</v>
      </c>
      <c r="M2" s="2275"/>
    </row>
    <row r="3" spans="1:15" s="425" customFormat="1" ht="60" customHeight="1">
      <c r="A3" s="1787" t="s">
        <v>620</v>
      </c>
      <c r="B3" s="1787"/>
      <c r="C3" s="1787"/>
      <c r="D3" s="1443" t="s">
        <v>1534</v>
      </c>
      <c r="E3" s="1443" t="s">
        <v>1463</v>
      </c>
      <c r="F3" s="1443" t="s">
        <v>96</v>
      </c>
      <c r="G3" s="1443" t="s">
        <v>1535</v>
      </c>
      <c r="H3" s="1443" t="s">
        <v>1536</v>
      </c>
      <c r="I3" s="1443" t="s">
        <v>1537</v>
      </c>
      <c r="J3" s="1443" t="s">
        <v>1538</v>
      </c>
      <c r="K3" s="1443" t="s">
        <v>1539</v>
      </c>
      <c r="L3" s="1443" t="s">
        <v>2451</v>
      </c>
      <c r="M3" s="1443" t="s">
        <v>2452</v>
      </c>
    </row>
    <row r="4" spans="1:15" s="1452" customFormat="1" ht="9.9499999999999993" customHeight="1">
      <c r="A4" s="169" t="s">
        <v>635</v>
      </c>
      <c r="B4" s="2279" t="s">
        <v>664</v>
      </c>
      <c r="C4" s="2279"/>
      <c r="D4" s="1475">
        <v>2.93</v>
      </c>
      <c r="E4" s="1475">
        <v>1.8900000000000001</v>
      </c>
      <c r="F4" s="1457">
        <v>3</v>
      </c>
      <c r="G4" s="1458">
        <v>2.25</v>
      </c>
      <c r="H4" s="1475">
        <v>2.12</v>
      </c>
      <c r="I4" s="1475">
        <v>4.91</v>
      </c>
      <c r="J4" s="1475">
        <v>2.73</v>
      </c>
      <c r="K4" s="1457">
        <v>3.6799999999999997</v>
      </c>
      <c r="L4" s="1457">
        <v>2.64</v>
      </c>
      <c r="M4" s="1457">
        <v>3</v>
      </c>
      <c r="O4" s="1454"/>
    </row>
    <row r="5" spans="1:15" s="33" customFormat="1" ht="9.9499999999999993" customHeight="1">
      <c r="A5" s="1476" t="s">
        <v>636</v>
      </c>
      <c r="B5" s="2277" t="s">
        <v>665</v>
      </c>
      <c r="C5" s="2277"/>
      <c r="D5" s="919"/>
      <c r="E5" s="919"/>
      <c r="F5" s="1477"/>
      <c r="G5" s="1477"/>
      <c r="H5" s="919"/>
      <c r="I5" s="919"/>
      <c r="J5" s="919"/>
      <c r="K5" s="1477"/>
      <c r="L5" s="1477"/>
      <c r="M5" s="1477"/>
      <c r="O5" s="1454"/>
    </row>
    <row r="6" spans="1:15" s="33" customFormat="1" ht="9.9499999999999993" customHeight="1">
      <c r="A6" s="169"/>
      <c r="B6" s="267" t="s">
        <v>666</v>
      </c>
      <c r="C6" s="71" t="s">
        <v>667</v>
      </c>
      <c r="D6" s="1475">
        <v>5.28</v>
      </c>
      <c r="E6" s="1475">
        <v>4.82</v>
      </c>
      <c r="F6" s="1457">
        <v>6</v>
      </c>
      <c r="G6" s="1457">
        <v>5.6</v>
      </c>
      <c r="H6" s="1475">
        <v>3.8600000000000003</v>
      </c>
      <c r="I6" s="1475">
        <v>6.5699999999999994</v>
      </c>
      <c r="J6" s="1475">
        <v>4.16</v>
      </c>
      <c r="K6" s="1457">
        <v>9.370000000000001</v>
      </c>
      <c r="L6" s="1457">
        <v>4.6899999999999995</v>
      </c>
      <c r="M6" s="1457">
        <v>6</v>
      </c>
      <c r="O6" s="1454"/>
    </row>
    <row r="7" spans="1:15" s="33" customFormat="1" ht="9.9499999999999993" customHeight="1">
      <c r="A7" s="1476"/>
      <c r="B7" s="1473" t="s">
        <v>668</v>
      </c>
      <c r="C7" s="1474" t="s">
        <v>669</v>
      </c>
      <c r="D7" s="919">
        <v>5.18</v>
      </c>
      <c r="E7" s="919">
        <v>4.6100000000000003</v>
      </c>
      <c r="F7" s="1477">
        <v>6</v>
      </c>
      <c r="G7" s="1477">
        <v>5.6</v>
      </c>
      <c r="H7" s="919">
        <v>3.8600000000000003</v>
      </c>
      <c r="I7" s="919">
        <v>6.4799999999999995</v>
      </c>
      <c r="J7" s="919">
        <v>4.16</v>
      </c>
      <c r="K7" s="1477">
        <v>8.66</v>
      </c>
      <c r="L7" s="1477">
        <v>4.6899999999999995</v>
      </c>
      <c r="M7" s="1477">
        <v>6</v>
      </c>
      <c r="O7" s="1454"/>
    </row>
    <row r="8" spans="1:15" s="33" customFormat="1" ht="9.9499999999999993" customHeight="1">
      <c r="A8" s="169"/>
      <c r="B8" s="267" t="s">
        <v>670</v>
      </c>
      <c r="C8" s="71" t="s">
        <v>79</v>
      </c>
      <c r="D8" s="1475">
        <v>5.1100000000000003</v>
      </c>
      <c r="E8" s="1475">
        <v>4.1900000000000004</v>
      </c>
      <c r="F8" s="1457">
        <v>6</v>
      </c>
      <c r="G8" s="1457">
        <v>5.6</v>
      </c>
      <c r="H8" s="1475">
        <v>3.8600000000000003</v>
      </c>
      <c r="I8" s="1475">
        <v>6.4399999999999995</v>
      </c>
      <c r="J8" s="1475">
        <v>4.16</v>
      </c>
      <c r="K8" s="1457">
        <v>6.25</v>
      </c>
      <c r="L8" s="1457">
        <v>4.6899999999999995</v>
      </c>
      <c r="M8" s="1457">
        <v>6</v>
      </c>
      <c r="O8" s="1454"/>
    </row>
    <row r="9" spans="1:15" s="33" customFormat="1" ht="9.9499999999999993" customHeight="1">
      <c r="A9" s="1476"/>
      <c r="B9" s="1473" t="s">
        <v>671</v>
      </c>
      <c r="C9" s="1474" t="s">
        <v>672</v>
      </c>
      <c r="D9" s="919">
        <v>5.0200000000000005</v>
      </c>
      <c r="E9" s="919">
        <v>3.9800000000000004</v>
      </c>
      <c r="F9" s="1477">
        <v>5.75</v>
      </c>
      <c r="G9" s="1477">
        <v>5.6</v>
      </c>
      <c r="H9" s="919">
        <v>3.38</v>
      </c>
      <c r="I9" s="919">
        <v>6.81</v>
      </c>
      <c r="J9" s="919">
        <v>3.98</v>
      </c>
      <c r="K9" s="1477">
        <v>6.34</v>
      </c>
      <c r="L9" s="1477">
        <v>4.3999999999999995</v>
      </c>
      <c r="M9" s="1477">
        <v>6</v>
      </c>
      <c r="O9" s="1454"/>
    </row>
    <row r="10" spans="1:15" s="33" customFormat="1" ht="9.9499999999999993" customHeight="1">
      <c r="A10" s="169"/>
      <c r="B10" s="267" t="s">
        <v>673</v>
      </c>
      <c r="C10" s="71" t="s">
        <v>674</v>
      </c>
      <c r="D10" s="1475">
        <v>4.95</v>
      </c>
      <c r="E10" s="1475">
        <v>3.7699999999999996</v>
      </c>
      <c r="F10" s="1457">
        <v>5.6</v>
      </c>
      <c r="G10" s="1457">
        <v>5.6</v>
      </c>
      <c r="H10" s="1475">
        <v>3.38</v>
      </c>
      <c r="I10" s="1475">
        <v>6.54</v>
      </c>
      <c r="J10" s="1475">
        <v>3.81</v>
      </c>
      <c r="K10" s="1457">
        <v>6.1</v>
      </c>
      <c r="L10" s="1457">
        <v>4.1099999999999994</v>
      </c>
      <c r="M10" s="1457">
        <v>6</v>
      </c>
      <c r="O10" s="1454"/>
    </row>
    <row r="11" spans="1:15" s="33" customFormat="1" ht="9.9499999999999993" customHeight="1">
      <c r="A11" s="1476"/>
      <c r="B11" s="1473" t="s">
        <v>331</v>
      </c>
      <c r="C11" s="1474" t="s">
        <v>78</v>
      </c>
      <c r="D11" s="919">
        <v>3.88</v>
      </c>
      <c r="E11" s="919">
        <v>2.94</v>
      </c>
      <c r="F11" s="1477">
        <v>3</v>
      </c>
      <c r="G11" s="1477">
        <v>5.6</v>
      </c>
      <c r="H11" s="919">
        <v>1.54</v>
      </c>
      <c r="I11" s="919">
        <v>5.4399999999999995</v>
      </c>
      <c r="J11" s="919">
        <v>3.59</v>
      </c>
      <c r="K11" s="1477">
        <v>4.16</v>
      </c>
      <c r="L11" s="1477">
        <v>2.7</v>
      </c>
      <c r="M11" s="1477">
        <v>3.5</v>
      </c>
      <c r="O11" s="1454"/>
    </row>
    <row r="12" spans="1:15" s="170" customFormat="1" ht="10.5" customHeight="1">
      <c r="A12" s="169" t="s">
        <v>637</v>
      </c>
      <c r="B12" s="2279" t="s">
        <v>675</v>
      </c>
      <c r="C12" s="2279"/>
      <c r="D12" s="1455"/>
      <c r="E12" s="1456"/>
      <c r="F12" s="1457"/>
      <c r="G12" s="1457"/>
      <c r="H12" s="1456"/>
      <c r="I12" s="1456"/>
      <c r="J12" s="1456"/>
      <c r="K12" s="1457"/>
      <c r="L12" s="1457"/>
      <c r="M12" s="1458"/>
      <c r="O12" s="1454"/>
    </row>
    <row r="13" spans="1:15" s="33" customFormat="1" ht="9.9499999999999993" customHeight="1">
      <c r="A13" s="1478"/>
      <c r="B13" s="1473" t="s">
        <v>666</v>
      </c>
      <c r="C13" s="1473" t="s">
        <v>676</v>
      </c>
      <c r="D13" s="919" t="s">
        <v>306</v>
      </c>
      <c r="E13" s="919">
        <v>4.82</v>
      </c>
      <c r="F13" s="1477" t="s">
        <v>306</v>
      </c>
      <c r="G13" s="1477">
        <v>5.6</v>
      </c>
      <c r="H13" s="919" t="s">
        <v>306</v>
      </c>
      <c r="I13" s="919" t="s">
        <v>306</v>
      </c>
      <c r="J13" s="1477" t="s">
        <v>306</v>
      </c>
      <c r="K13" s="1477" t="s">
        <v>306</v>
      </c>
      <c r="L13" s="1477">
        <v>2.93</v>
      </c>
      <c r="M13" s="1477" t="s">
        <v>306</v>
      </c>
      <c r="O13" s="1454"/>
    </row>
    <row r="14" spans="1:15" s="33" customFormat="1" ht="9.9499999999999993" customHeight="1">
      <c r="A14" s="1479"/>
      <c r="B14" s="267" t="s">
        <v>668</v>
      </c>
      <c r="C14" s="267" t="s">
        <v>677</v>
      </c>
      <c r="D14" s="1475" t="s">
        <v>306</v>
      </c>
      <c r="E14" s="1475">
        <v>4.82</v>
      </c>
      <c r="F14" s="1457" t="s">
        <v>306</v>
      </c>
      <c r="G14" s="1457" t="s">
        <v>306</v>
      </c>
      <c r="H14" s="1475" t="s">
        <v>306</v>
      </c>
      <c r="I14" s="1475">
        <v>8.61</v>
      </c>
      <c r="J14" s="1475" t="s">
        <v>306</v>
      </c>
      <c r="K14" s="1457" t="s">
        <v>306</v>
      </c>
      <c r="L14" s="1457">
        <v>2.82</v>
      </c>
      <c r="M14" s="1457" t="s">
        <v>306</v>
      </c>
      <c r="O14" s="1454"/>
    </row>
    <row r="15" spans="1:15" s="33" customFormat="1" ht="9.9499999999999993" customHeight="1">
      <c r="A15" s="1478"/>
      <c r="B15" s="1473" t="s">
        <v>670</v>
      </c>
      <c r="C15" s="1473" t="s">
        <v>250</v>
      </c>
      <c r="D15" s="919" t="s">
        <v>306</v>
      </c>
      <c r="E15" s="919">
        <v>4.82</v>
      </c>
      <c r="F15" s="1477" t="s">
        <v>306</v>
      </c>
      <c r="G15" s="1477" t="s">
        <v>306</v>
      </c>
      <c r="H15" s="919" t="s">
        <v>306</v>
      </c>
      <c r="I15" s="919" t="s">
        <v>306</v>
      </c>
      <c r="J15" s="1477" t="s">
        <v>306</v>
      </c>
      <c r="K15" s="1477">
        <v>4.26</v>
      </c>
      <c r="L15" s="1477" t="s">
        <v>306</v>
      </c>
      <c r="M15" s="1477" t="s">
        <v>306</v>
      </c>
      <c r="O15" s="1454"/>
    </row>
    <row r="16" spans="1:15" s="33" customFormat="1" ht="9.9499999999999993" customHeight="1">
      <c r="A16" s="380"/>
      <c r="B16" s="2226" t="s">
        <v>980</v>
      </c>
      <c r="C16" s="2226"/>
      <c r="D16" s="703"/>
      <c r="E16" s="1458"/>
      <c r="F16" s="1458"/>
      <c r="G16" s="1458"/>
      <c r="H16" s="703"/>
      <c r="I16" s="703"/>
      <c r="J16" s="1458"/>
      <c r="K16" s="1458"/>
      <c r="L16" s="1458"/>
      <c r="M16" s="1458"/>
      <c r="O16" s="1454"/>
    </row>
    <row r="17" spans="1:15" s="33" customFormat="1" ht="9.9499999999999993" customHeight="1">
      <c r="A17" s="1478"/>
      <c r="B17" s="353" t="s">
        <v>332</v>
      </c>
      <c r="C17" s="1473" t="s">
        <v>667</v>
      </c>
      <c r="D17" s="919" t="s">
        <v>306</v>
      </c>
      <c r="E17" s="919">
        <v>4.82</v>
      </c>
      <c r="F17" s="1477" t="s">
        <v>306</v>
      </c>
      <c r="G17" s="1477" t="s">
        <v>306</v>
      </c>
      <c r="H17" s="919" t="s">
        <v>306</v>
      </c>
      <c r="I17" s="919" t="s">
        <v>306</v>
      </c>
      <c r="J17" s="1477" t="s">
        <v>306</v>
      </c>
      <c r="K17" s="1477" t="s">
        <v>306</v>
      </c>
      <c r="L17" s="1477" t="s">
        <v>306</v>
      </c>
      <c r="M17" s="1477">
        <v>7.5</v>
      </c>
      <c r="O17" s="1454"/>
    </row>
    <row r="18" spans="1:15" s="33" customFormat="1" ht="9.9499999999999993" customHeight="1">
      <c r="A18" s="1479"/>
      <c r="B18" s="668" t="s">
        <v>517</v>
      </c>
      <c r="C18" s="267" t="s">
        <v>98</v>
      </c>
      <c r="D18" s="1475">
        <v>5.29</v>
      </c>
      <c r="E18" s="1475">
        <v>4.82</v>
      </c>
      <c r="F18" s="1457" t="s">
        <v>306</v>
      </c>
      <c r="G18" s="1457" t="s">
        <v>306</v>
      </c>
      <c r="H18" s="1475" t="s">
        <v>306</v>
      </c>
      <c r="I18" s="1475" t="s">
        <v>306</v>
      </c>
      <c r="J18" s="1458" t="s">
        <v>306</v>
      </c>
      <c r="K18" s="1457" t="s">
        <v>306</v>
      </c>
      <c r="L18" s="1457" t="s">
        <v>306</v>
      </c>
      <c r="M18" s="1457">
        <v>7.5</v>
      </c>
      <c r="O18" s="1454"/>
    </row>
    <row r="19" spans="1:15" s="33" customFormat="1" ht="9.9499999999999993" customHeight="1">
      <c r="A19" s="1478"/>
      <c r="B19" s="353" t="s">
        <v>309</v>
      </c>
      <c r="C19" s="1473" t="s">
        <v>99</v>
      </c>
      <c r="D19" s="919">
        <v>5.91</v>
      </c>
      <c r="E19" s="919">
        <v>4.82</v>
      </c>
      <c r="F19" s="1477" t="s">
        <v>306</v>
      </c>
      <c r="G19" s="1477" t="s">
        <v>306</v>
      </c>
      <c r="H19" s="919" t="s">
        <v>306</v>
      </c>
      <c r="I19" s="919" t="s">
        <v>306</v>
      </c>
      <c r="J19" s="1477" t="s">
        <v>306</v>
      </c>
      <c r="K19" s="1477" t="s">
        <v>306</v>
      </c>
      <c r="L19" s="1477" t="s">
        <v>306</v>
      </c>
      <c r="M19" s="1477">
        <v>7.5</v>
      </c>
      <c r="O19" s="1454"/>
    </row>
    <row r="20" spans="1:15" s="33" customFormat="1" ht="9.9499999999999993" customHeight="1">
      <c r="A20" s="1479"/>
      <c r="B20" s="71" t="s">
        <v>398</v>
      </c>
      <c r="C20" s="71" t="s">
        <v>399</v>
      </c>
      <c r="D20" s="1457"/>
      <c r="E20" s="1457"/>
      <c r="F20" s="1457"/>
      <c r="G20" s="1457"/>
      <c r="H20" s="1480"/>
      <c r="I20" s="1480"/>
      <c r="J20" s="1458"/>
      <c r="K20" s="1457"/>
      <c r="L20" s="1457"/>
      <c r="M20" s="1457"/>
      <c r="O20" s="1454"/>
    </row>
    <row r="21" spans="1:15" s="33" customFormat="1" ht="9.9499999999999993" customHeight="1">
      <c r="A21" s="1478"/>
      <c r="B21" s="353" t="s">
        <v>332</v>
      </c>
      <c r="C21" s="1473" t="s">
        <v>100</v>
      </c>
      <c r="D21" s="1477" t="s">
        <v>306</v>
      </c>
      <c r="E21" s="919">
        <v>4.82</v>
      </c>
      <c r="F21" s="1477">
        <v>7</v>
      </c>
      <c r="G21" s="1477" t="s">
        <v>306</v>
      </c>
      <c r="H21" s="919">
        <v>5.9799999999999995</v>
      </c>
      <c r="I21" s="919">
        <v>11.04</v>
      </c>
      <c r="J21" s="919">
        <v>5.58</v>
      </c>
      <c r="K21" s="1477">
        <v>9.73</v>
      </c>
      <c r="L21" s="1477">
        <v>6.45</v>
      </c>
      <c r="M21" s="1477">
        <v>7.32</v>
      </c>
      <c r="O21" s="1454"/>
    </row>
    <row r="22" spans="1:15" s="33" customFormat="1" ht="9.9499999999999993" customHeight="1">
      <c r="A22" s="1479"/>
      <c r="B22" s="668" t="s">
        <v>517</v>
      </c>
      <c r="C22" s="267" t="s">
        <v>101</v>
      </c>
      <c r="D22" s="1457" t="s">
        <v>306</v>
      </c>
      <c r="E22" s="1475">
        <v>4.82</v>
      </c>
      <c r="F22" s="1457" t="s">
        <v>306</v>
      </c>
      <c r="G22" s="1457" t="s">
        <v>306</v>
      </c>
      <c r="H22" s="1475">
        <v>6.17</v>
      </c>
      <c r="I22" s="1475" t="s">
        <v>306</v>
      </c>
      <c r="J22" s="1475">
        <v>5.67</v>
      </c>
      <c r="K22" s="1457">
        <v>9.33</v>
      </c>
      <c r="L22" s="1457" t="s">
        <v>306</v>
      </c>
      <c r="M22" s="1457" t="s">
        <v>306</v>
      </c>
      <c r="O22" s="1454"/>
    </row>
    <row r="23" spans="1:15" s="33" customFormat="1" ht="9.9499999999999993" customHeight="1">
      <c r="A23" s="1478"/>
      <c r="B23" s="1473" t="s">
        <v>400</v>
      </c>
      <c r="C23" s="1474" t="s">
        <v>401</v>
      </c>
      <c r="D23" s="1477"/>
      <c r="E23" s="1477"/>
      <c r="F23" s="1477"/>
      <c r="G23" s="1477"/>
      <c r="H23" s="919"/>
      <c r="I23" s="919"/>
      <c r="J23" s="919"/>
      <c r="K23" s="1477"/>
      <c r="L23" s="1477"/>
      <c r="M23" s="1477"/>
      <c r="O23" s="1454"/>
    </row>
    <row r="24" spans="1:15" s="33" customFormat="1" ht="9.9499999999999993" customHeight="1">
      <c r="A24" s="1479"/>
      <c r="B24" s="668" t="s">
        <v>390</v>
      </c>
      <c r="C24" s="71" t="s">
        <v>389</v>
      </c>
      <c r="D24" s="1457" t="s">
        <v>306</v>
      </c>
      <c r="E24" s="1475">
        <v>4.82</v>
      </c>
      <c r="F24" s="1457">
        <v>6.5</v>
      </c>
      <c r="G24" s="1457" t="s">
        <v>306</v>
      </c>
      <c r="H24" s="1475">
        <v>6.08</v>
      </c>
      <c r="I24" s="1475">
        <v>9.2100000000000009</v>
      </c>
      <c r="J24" s="1475">
        <v>5.8</v>
      </c>
      <c r="K24" s="1457">
        <v>9.0300000000000011</v>
      </c>
      <c r="L24" s="1457">
        <v>6</v>
      </c>
      <c r="M24" s="1457">
        <v>7.5</v>
      </c>
      <c r="O24" s="1454"/>
    </row>
    <row r="25" spans="1:15" s="33" customFormat="1" ht="10.5" customHeight="1">
      <c r="A25" s="1478"/>
      <c r="B25" s="353" t="s">
        <v>391</v>
      </c>
      <c r="C25" s="1474" t="s">
        <v>392</v>
      </c>
      <c r="D25" s="1477" t="s">
        <v>306</v>
      </c>
      <c r="E25" s="919">
        <v>4.82</v>
      </c>
      <c r="F25" s="1477">
        <v>6.5</v>
      </c>
      <c r="G25" s="1477" t="s">
        <v>306</v>
      </c>
      <c r="H25" s="919">
        <v>6.17</v>
      </c>
      <c r="I25" s="919" t="s">
        <v>306</v>
      </c>
      <c r="J25" s="919">
        <v>5.84</v>
      </c>
      <c r="K25" s="1477" t="s">
        <v>306</v>
      </c>
      <c r="L25" s="1477">
        <v>6.1</v>
      </c>
      <c r="M25" s="1477">
        <v>7.5</v>
      </c>
      <c r="O25" s="1454"/>
    </row>
    <row r="26" spans="1:15" s="33" customFormat="1" ht="9.9499999999999993" customHeight="1">
      <c r="A26" s="1479"/>
      <c r="B26" s="668" t="s">
        <v>307</v>
      </c>
      <c r="C26" s="71" t="s">
        <v>393</v>
      </c>
      <c r="D26" s="1457" t="s">
        <v>306</v>
      </c>
      <c r="E26" s="1475">
        <v>4.82</v>
      </c>
      <c r="F26" s="1457" t="s">
        <v>306</v>
      </c>
      <c r="G26" s="1457" t="s">
        <v>306</v>
      </c>
      <c r="H26" s="1475">
        <v>7.4300000000000006</v>
      </c>
      <c r="I26" s="1475" t="s">
        <v>306</v>
      </c>
      <c r="J26" s="1475" t="s">
        <v>306</v>
      </c>
      <c r="K26" s="1457" t="s">
        <v>306</v>
      </c>
      <c r="L26" s="1457">
        <v>6.2</v>
      </c>
      <c r="M26" s="1457">
        <v>7.5</v>
      </c>
      <c r="O26" s="1454"/>
    </row>
    <row r="27" spans="1:15" s="33" customFormat="1" ht="9.9499999999999993" customHeight="1">
      <c r="A27" s="1478"/>
      <c r="B27" s="353" t="s">
        <v>308</v>
      </c>
      <c r="C27" s="1474" t="s">
        <v>394</v>
      </c>
      <c r="D27" s="1477" t="s">
        <v>306</v>
      </c>
      <c r="E27" s="919">
        <v>4.82</v>
      </c>
      <c r="F27" s="1477" t="s">
        <v>306</v>
      </c>
      <c r="G27" s="1477" t="s">
        <v>306</v>
      </c>
      <c r="H27" s="919">
        <v>7.4300000000000006</v>
      </c>
      <c r="I27" s="919" t="s">
        <v>306</v>
      </c>
      <c r="J27" s="919" t="s">
        <v>306</v>
      </c>
      <c r="K27" s="1477" t="s">
        <v>306</v>
      </c>
      <c r="L27" s="1477" t="s">
        <v>306</v>
      </c>
      <c r="M27" s="1477">
        <v>7.5</v>
      </c>
      <c r="O27" s="1454"/>
    </row>
    <row r="28" spans="1:15" s="33" customFormat="1" ht="10.5" customHeight="1">
      <c r="A28" s="1479"/>
      <c r="B28" s="267" t="s">
        <v>387</v>
      </c>
      <c r="C28" s="1481" t="s">
        <v>388</v>
      </c>
      <c r="D28" s="1457"/>
      <c r="E28" s="1457"/>
      <c r="F28" s="1458"/>
      <c r="G28" s="1457"/>
      <c r="H28" s="1475"/>
      <c r="I28" s="1475"/>
      <c r="J28" s="1475"/>
      <c r="K28" s="1457"/>
      <c r="L28" s="1457"/>
      <c r="M28" s="1457"/>
      <c r="O28" s="1454"/>
    </row>
    <row r="29" spans="1:15" s="33" customFormat="1" ht="9.9499999999999993" customHeight="1">
      <c r="A29" s="1478"/>
      <c r="B29" s="353" t="s">
        <v>332</v>
      </c>
      <c r="C29" s="1010" t="s">
        <v>667</v>
      </c>
      <c r="D29" s="1477">
        <v>5.0999999999999996</v>
      </c>
      <c r="E29" s="1477" t="s">
        <v>306</v>
      </c>
      <c r="F29" s="1477">
        <v>6.5</v>
      </c>
      <c r="G29" s="1477" t="s">
        <v>306</v>
      </c>
      <c r="H29" s="919">
        <v>5.79</v>
      </c>
      <c r="I29" s="919" t="s">
        <v>306</v>
      </c>
      <c r="J29" s="919">
        <v>5.58</v>
      </c>
      <c r="K29" s="1477" t="s">
        <v>306</v>
      </c>
      <c r="L29" s="1477" t="s">
        <v>306</v>
      </c>
      <c r="M29" s="1477" t="s">
        <v>306</v>
      </c>
      <c r="O29" s="1454"/>
    </row>
    <row r="30" spans="1:15" s="243" customFormat="1" ht="9.9499999999999993" customHeight="1">
      <c r="A30" s="380"/>
      <c r="B30" s="283" t="s">
        <v>391</v>
      </c>
      <c r="C30" s="282" t="s">
        <v>98</v>
      </c>
      <c r="D30" s="703">
        <v>5.25</v>
      </c>
      <c r="E30" s="703">
        <v>4.82</v>
      </c>
      <c r="F30" s="1458">
        <v>6.75</v>
      </c>
      <c r="G30" s="1458" t="s">
        <v>306</v>
      </c>
      <c r="H30" s="703">
        <v>5.88</v>
      </c>
      <c r="I30" s="703" t="s">
        <v>306</v>
      </c>
      <c r="J30" s="703">
        <v>5.67</v>
      </c>
      <c r="K30" s="1458" t="s">
        <v>306</v>
      </c>
      <c r="L30" s="1458">
        <v>5.28</v>
      </c>
      <c r="M30" s="1458">
        <v>7.5</v>
      </c>
      <c r="O30" s="1454"/>
    </row>
    <row r="31" spans="1:15" s="243" customFormat="1" ht="9.9499999999999993" customHeight="1">
      <c r="A31" s="1478"/>
      <c r="B31" s="353" t="s">
        <v>307</v>
      </c>
      <c r="C31" s="1474" t="s">
        <v>99</v>
      </c>
      <c r="D31" s="919" t="s">
        <v>306</v>
      </c>
      <c r="E31" s="919">
        <v>4.82</v>
      </c>
      <c r="F31" s="1477" t="s">
        <v>306</v>
      </c>
      <c r="G31" s="1477" t="s">
        <v>306</v>
      </c>
      <c r="H31" s="919">
        <v>5.9799999999999995</v>
      </c>
      <c r="I31" s="919" t="s">
        <v>306</v>
      </c>
      <c r="J31" s="919">
        <v>5.54</v>
      </c>
      <c r="K31" s="1477" t="s">
        <v>306</v>
      </c>
      <c r="L31" s="1477">
        <v>5.5</v>
      </c>
      <c r="M31" s="1477">
        <v>7.5</v>
      </c>
      <c r="O31" s="1454"/>
    </row>
    <row r="32" spans="1:15" s="243" customFormat="1" ht="9.9499999999999993" customHeight="1">
      <c r="A32" s="380"/>
      <c r="B32" s="283" t="s">
        <v>308</v>
      </c>
      <c r="C32" s="282" t="s">
        <v>395</v>
      </c>
      <c r="D32" s="703">
        <v>5.91</v>
      </c>
      <c r="E32" s="703">
        <v>4.82</v>
      </c>
      <c r="F32" s="1458">
        <v>7</v>
      </c>
      <c r="G32" s="1458" t="s">
        <v>306</v>
      </c>
      <c r="H32" s="703">
        <v>6.08</v>
      </c>
      <c r="I32" s="703">
        <v>9.48</v>
      </c>
      <c r="J32" s="703">
        <v>5.54</v>
      </c>
      <c r="K32" s="1458">
        <v>8.73</v>
      </c>
      <c r="L32" s="1458">
        <v>5.8000000000000007</v>
      </c>
      <c r="M32" s="1458">
        <v>7.5</v>
      </c>
      <c r="O32" s="1454"/>
    </row>
    <row r="33" spans="1:16" s="243" customFormat="1" ht="9.9499999999999993" customHeight="1">
      <c r="A33" s="1478"/>
      <c r="B33" s="353" t="s">
        <v>2453</v>
      </c>
      <c r="C33" s="1474" t="s">
        <v>389</v>
      </c>
      <c r="D33" s="1477" t="s">
        <v>306</v>
      </c>
      <c r="E33" s="919" t="s">
        <v>306</v>
      </c>
      <c r="F33" s="1477" t="s">
        <v>306</v>
      </c>
      <c r="G33" s="1477" t="s">
        <v>306</v>
      </c>
      <c r="H33" s="919" t="s">
        <v>306</v>
      </c>
      <c r="I33" s="919" t="s">
        <v>306</v>
      </c>
      <c r="J33" s="919">
        <v>5.5</v>
      </c>
      <c r="K33" s="1477" t="s">
        <v>306</v>
      </c>
      <c r="L33" s="1477" t="s">
        <v>306</v>
      </c>
      <c r="M33" s="1477">
        <v>7.5</v>
      </c>
      <c r="O33" s="1454"/>
    </row>
    <row r="34" spans="1:16" s="243" customFormat="1" ht="9.9499999999999993" customHeight="1">
      <c r="A34" s="380"/>
      <c r="B34" s="1472" t="s">
        <v>397</v>
      </c>
      <c r="C34" s="282" t="s">
        <v>822</v>
      </c>
      <c r="D34" s="1458">
        <v>2.93</v>
      </c>
      <c r="E34" s="1458" t="s">
        <v>306</v>
      </c>
      <c r="F34" s="1458">
        <v>6.5</v>
      </c>
      <c r="G34" s="1458" t="s">
        <v>306</v>
      </c>
      <c r="H34" s="703">
        <v>7.91</v>
      </c>
      <c r="I34" s="703" t="s">
        <v>306</v>
      </c>
      <c r="J34" s="703">
        <v>4.93</v>
      </c>
      <c r="K34" s="1458">
        <v>7.23</v>
      </c>
      <c r="L34" s="1458">
        <v>2.93</v>
      </c>
      <c r="M34" s="1458">
        <v>4</v>
      </c>
      <c r="O34" s="1454"/>
    </row>
    <row r="35" spans="1:16" s="243" customFormat="1" ht="10.5" customHeight="1">
      <c r="A35" s="1478"/>
      <c r="B35" s="1473" t="s">
        <v>332</v>
      </c>
      <c r="C35" s="1473" t="s">
        <v>102</v>
      </c>
      <c r="D35" s="1477" t="s">
        <v>306</v>
      </c>
      <c r="E35" s="1477" t="s">
        <v>306</v>
      </c>
      <c r="F35" s="1477" t="s">
        <v>306</v>
      </c>
      <c r="G35" s="1477" t="s">
        <v>306</v>
      </c>
      <c r="H35" s="919" t="s">
        <v>306</v>
      </c>
      <c r="I35" s="919" t="s">
        <v>306</v>
      </c>
      <c r="J35" s="919" t="s">
        <v>306</v>
      </c>
      <c r="K35" s="1477" t="s">
        <v>306</v>
      </c>
      <c r="L35" s="1477">
        <v>3.34</v>
      </c>
      <c r="M35" s="1477">
        <v>3</v>
      </c>
      <c r="O35" s="1454"/>
    </row>
    <row r="36" spans="1:16" s="243" customFormat="1" ht="9.9499999999999993" customHeight="1">
      <c r="A36" s="380"/>
      <c r="B36" s="1472" t="s">
        <v>333</v>
      </c>
      <c r="C36" s="1472" t="s">
        <v>103</v>
      </c>
      <c r="D36" s="1458" t="s">
        <v>306</v>
      </c>
      <c r="E36" s="1458" t="s">
        <v>306</v>
      </c>
      <c r="F36" s="1458" t="s">
        <v>306</v>
      </c>
      <c r="G36" s="1458" t="s">
        <v>306</v>
      </c>
      <c r="H36" s="703" t="s">
        <v>306</v>
      </c>
      <c r="I36" s="703" t="s">
        <v>306</v>
      </c>
      <c r="J36" s="703">
        <v>5.32</v>
      </c>
      <c r="K36" s="1458" t="s">
        <v>306</v>
      </c>
      <c r="L36" s="1458">
        <v>3.81</v>
      </c>
      <c r="M36" s="1458">
        <v>3</v>
      </c>
      <c r="O36" s="1454"/>
    </row>
    <row r="37" spans="1:16" s="243" customFormat="1" ht="9.9499999999999993" customHeight="1">
      <c r="A37" s="1478"/>
      <c r="B37" s="1473" t="s">
        <v>334</v>
      </c>
      <c r="C37" s="1473" t="s">
        <v>104</v>
      </c>
      <c r="D37" s="1477" t="s">
        <v>306</v>
      </c>
      <c r="E37" s="1477" t="s">
        <v>306</v>
      </c>
      <c r="F37" s="1477" t="s">
        <v>306</v>
      </c>
      <c r="G37" s="1477" t="s">
        <v>306</v>
      </c>
      <c r="H37" s="919" t="s">
        <v>306</v>
      </c>
      <c r="I37" s="919" t="s">
        <v>306</v>
      </c>
      <c r="J37" s="919">
        <v>5.0599999999999996</v>
      </c>
      <c r="K37" s="1477" t="s">
        <v>306</v>
      </c>
      <c r="L37" s="1477">
        <v>2.93</v>
      </c>
      <c r="M37" s="1477">
        <v>3</v>
      </c>
      <c r="O37" s="1454"/>
    </row>
    <row r="38" spans="1:16" s="243" customFormat="1" ht="9.9499999999999993" customHeight="1">
      <c r="A38" s="380"/>
      <c r="B38" s="1472" t="s">
        <v>335</v>
      </c>
      <c r="C38" s="1472" t="s">
        <v>105</v>
      </c>
      <c r="D38" s="1458" t="s">
        <v>306</v>
      </c>
      <c r="E38" s="1458" t="s">
        <v>306</v>
      </c>
      <c r="F38" s="1458" t="s">
        <v>306</v>
      </c>
      <c r="G38" s="1458" t="s">
        <v>306</v>
      </c>
      <c r="H38" s="703" t="s">
        <v>306</v>
      </c>
      <c r="I38" s="703" t="s">
        <v>306</v>
      </c>
      <c r="J38" s="703" t="s">
        <v>306</v>
      </c>
      <c r="K38" s="1458" t="s">
        <v>306</v>
      </c>
      <c r="L38" s="1458">
        <v>2.93</v>
      </c>
      <c r="M38" s="1458">
        <v>3</v>
      </c>
      <c r="O38" s="1454"/>
    </row>
    <row r="39" spans="1:16" s="243" customFormat="1" ht="9.9499999999999993" customHeight="1">
      <c r="A39" s="1478"/>
      <c r="B39" s="1473" t="s">
        <v>336</v>
      </c>
      <c r="C39" s="1473" t="s">
        <v>106</v>
      </c>
      <c r="D39" s="1477" t="s">
        <v>306</v>
      </c>
      <c r="E39" s="919">
        <v>4.82</v>
      </c>
      <c r="F39" s="1477">
        <v>6.5</v>
      </c>
      <c r="G39" s="1477" t="s">
        <v>306</v>
      </c>
      <c r="H39" s="919" t="s">
        <v>306</v>
      </c>
      <c r="I39" s="919">
        <v>9.34</v>
      </c>
      <c r="J39" s="919" t="s">
        <v>306</v>
      </c>
      <c r="K39" s="1477" t="s">
        <v>306</v>
      </c>
      <c r="L39" s="1477">
        <v>5.86</v>
      </c>
      <c r="M39" s="1477">
        <v>7.5</v>
      </c>
      <c r="O39" s="1454"/>
    </row>
    <row r="40" spans="1:16" s="243" customFormat="1" ht="9.9499999999999993" customHeight="1">
      <c r="A40" s="380"/>
      <c r="B40" s="1472" t="s">
        <v>337</v>
      </c>
      <c r="C40" s="1472" t="s">
        <v>107</v>
      </c>
      <c r="D40" s="1458" t="s">
        <v>306</v>
      </c>
      <c r="E40" s="1458" t="s">
        <v>306</v>
      </c>
      <c r="F40" s="1458" t="s">
        <v>306</v>
      </c>
      <c r="G40" s="1458" t="s">
        <v>306</v>
      </c>
      <c r="H40" s="703" t="s">
        <v>306</v>
      </c>
      <c r="I40" s="703" t="s">
        <v>306</v>
      </c>
      <c r="J40" s="703" t="s">
        <v>306</v>
      </c>
      <c r="K40" s="1458" t="s">
        <v>306</v>
      </c>
      <c r="L40" s="1458">
        <v>5.57</v>
      </c>
      <c r="M40" s="1458">
        <v>7.5</v>
      </c>
      <c r="O40" s="1454"/>
    </row>
    <row r="41" spans="1:16" s="243" customFormat="1" ht="9.9499999999999993" customHeight="1">
      <c r="A41" s="1478"/>
      <c r="B41" s="1473" t="s">
        <v>338</v>
      </c>
      <c r="C41" s="1473" t="s">
        <v>108</v>
      </c>
      <c r="D41" s="1477" t="s">
        <v>306</v>
      </c>
      <c r="E41" s="1477" t="s">
        <v>306</v>
      </c>
      <c r="F41" s="1477">
        <v>6.5</v>
      </c>
      <c r="G41" s="1477">
        <v>5.25</v>
      </c>
      <c r="H41" s="919">
        <v>7.4300000000000006</v>
      </c>
      <c r="I41" s="919" t="s">
        <v>306</v>
      </c>
      <c r="J41" s="919">
        <v>5.8</v>
      </c>
      <c r="K41" s="1477" t="s">
        <v>306</v>
      </c>
      <c r="L41" s="1477">
        <v>5.86</v>
      </c>
      <c r="M41" s="1477">
        <v>4</v>
      </c>
      <c r="O41" s="1454"/>
      <c r="P41" s="308"/>
    </row>
    <row r="42" spans="1:16" s="243" customFormat="1" ht="9.9499999999999993" customHeight="1">
      <c r="A42" s="1472"/>
      <c r="B42" s="1472" t="s">
        <v>339</v>
      </c>
      <c r="C42" s="1472" t="s">
        <v>109</v>
      </c>
      <c r="D42" s="1458" t="s">
        <v>306</v>
      </c>
      <c r="E42" s="1458" t="s">
        <v>306</v>
      </c>
      <c r="F42" s="1458">
        <v>3.75</v>
      </c>
      <c r="G42" s="1458">
        <v>5.25</v>
      </c>
      <c r="H42" s="703" t="s">
        <v>306</v>
      </c>
      <c r="I42" s="703" t="s">
        <v>306</v>
      </c>
      <c r="J42" s="703" t="s">
        <v>306</v>
      </c>
      <c r="K42" s="1458" t="s">
        <v>306</v>
      </c>
      <c r="L42" s="1458">
        <v>5.5</v>
      </c>
      <c r="M42" s="1458">
        <v>3</v>
      </c>
      <c r="O42" s="1454"/>
    </row>
    <row r="43" spans="1:16" s="243" customFormat="1" ht="9.9499999999999993" customHeight="1">
      <c r="A43" s="1473"/>
      <c r="B43" s="1473" t="s">
        <v>502</v>
      </c>
      <c r="C43" s="1473" t="s">
        <v>503</v>
      </c>
      <c r="D43" s="919">
        <v>5.91</v>
      </c>
      <c r="E43" s="919">
        <v>4.82</v>
      </c>
      <c r="F43" s="1477">
        <v>6.5</v>
      </c>
      <c r="G43" s="1477" t="s">
        <v>306</v>
      </c>
      <c r="H43" s="919" t="s">
        <v>306</v>
      </c>
      <c r="I43" s="919">
        <v>8.7099999999999991</v>
      </c>
      <c r="J43" s="919">
        <v>5.54</v>
      </c>
      <c r="K43" s="1477" t="s">
        <v>306</v>
      </c>
      <c r="L43" s="1477" t="s">
        <v>306</v>
      </c>
      <c r="M43" s="1477">
        <v>7.5</v>
      </c>
      <c r="O43" s="1454"/>
    </row>
    <row r="44" spans="1:16" s="243" customFormat="1" ht="9.9499999999999993" customHeight="1">
      <c r="A44" s="1472"/>
      <c r="B44" s="1472" t="s">
        <v>504</v>
      </c>
      <c r="C44" s="1472" t="s">
        <v>506</v>
      </c>
      <c r="D44" s="703">
        <v>5.2</v>
      </c>
      <c r="E44" s="703">
        <v>4.82</v>
      </c>
      <c r="F44" s="1458">
        <v>6.25</v>
      </c>
      <c r="G44" s="1458" t="s">
        <v>306</v>
      </c>
      <c r="H44" s="703" t="s">
        <v>306</v>
      </c>
      <c r="I44" s="703">
        <v>7.62</v>
      </c>
      <c r="J44" s="703">
        <v>5.67</v>
      </c>
      <c r="K44" s="1458" t="s">
        <v>306</v>
      </c>
      <c r="L44" s="1458" t="s">
        <v>306</v>
      </c>
      <c r="M44" s="1458">
        <v>7.5</v>
      </c>
      <c r="O44" s="1454"/>
    </row>
    <row r="45" spans="1:16" s="243" customFormat="1" ht="9.9499999999999993" customHeight="1">
      <c r="A45" s="1473"/>
      <c r="B45" s="1473" t="s">
        <v>507</v>
      </c>
      <c r="C45" s="1462" t="s">
        <v>2167</v>
      </c>
      <c r="D45" s="919" t="s">
        <v>306</v>
      </c>
      <c r="E45" s="919">
        <v>4.82</v>
      </c>
      <c r="F45" s="1477" t="s">
        <v>306</v>
      </c>
      <c r="G45" s="1477" t="s">
        <v>306</v>
      </c>
      <c r="H45" s="919" t="s">
        <v>306</v>
      </c>
      <c r="I45" s="919">
        <v>9.09</v>
      </c>
      <c r="J45" s="919" t="s">
        <v>306</v>
      </c>
      <c r="K45" s="1477">
        <v>6.25</v>
      </c>
      <c r="L45" s="1477">
        <v>5.86</v>
      </c>
      <c r="M45" s="1477">
        <v>7.5</v>
      </c>
      <c r="O45" s="1454"/>
    </row>
    <row r="46" spans="1:16" s="243" customFormat="1" ht="9.9499999999999993" customHeight="1">
      <c r="A46" s="1472"/>
      <c r="B46" s="1472" t="s">
        <v>508</v>
      </c>
      <c r="C46" s="381" t="s">
        <v>823</v>
      </c>
      <c r="D46" s="703" t="s">
        <v>306</v>
      </c>
      <c r="E46" s="703">
        <v>4.82</v>
      </c>
      <c r="F46" s="1458" t="s">
        <v>306</v>
      </c>
      <c r="G46" s="1458" t="s">
        <v>306</v>
      </c>
      <c r="H46" s="703" t="s">
        <v>306</v>
      </c>
      <c r="I46" s="703" t="s">
        <v>306</v>
      </c>
      <c r="J46" s="703">
        <v>4.9800000000000004</v>
      </c>
      <c r="K46" s="1458">
        <v>6.25</v>
      </c>
      <c r="L46" s="1458">
        <v>5.57</v>
      </c>
      <c r="M46" s="1458">
        <v>7</v>
      </c>
      <c r="O46" s="1454"/>
    </row>
    <row r="47" spans="1:16" s="243" customFormat="1" ht="9.9499999999999993" customHeight="1">
      <c r="A47" s="1473"/>
      <c r="B47" s="1473" t="s">
        <v>289</v>
      </c>
      <c r="C47" s="1462" t="s">
        <v>824</v>
      </c>
      <c r="D47" s="919" t="s">
        <v>306</v>
      </c>
      <c r="E47" s="919">
        <v>4.82</v>
      </c>
      <c r="F47" s="782" t="s">
        <v>306</v>
      </c>
      <c r="G47" s="782" t="s">
        <v>306</v>
      </c>
      <c r="H47" s="919">
        <v>3.7600000000000002</v>
      </c>
      <c r="I47" s="919" t="s">
        <v>306</v>
      </c>
      <c r="J47" s="919">
        <v>4.9800000000000004</v>
      </c>
      <c r="K47" s="782">
        <v>6.25</v>
      </c>
      <c r="L47" s="782">
        <v>5.28</v>
      </c>
      <c r="M47" s="782">
        <v>6.5</v>
      </c>
      <c r="O47" s="1454"/>
    </row>
    <row r="48" spans="1:16" s="243" customFormat="1" ht="9.9499999999999993" customHeight="1">
      <c r="A48" s="1472"/>
      <c r="B48" s="1472" t="s">
        <v>330</v>
      </c>
      <c r="C48" s="1472" t="s">
        <v>290</v>
      </c>
      <c r="D48" s="1458" t="s">
        <v>306</v>
      </c>
      <c r="E48" s="703">
        <v>4.82</v>
      </c>
      <c r="F48" s="1458">
        <v>6</v>
      </c>
      <c r="G48" s="1458" t="s">
        <v>306</v>
      </c>
      <c r="H48" s="703" t="s">
        <v>306</v>
      </c>
      <c r="I48" s="703">
        <v>8.4</v>
      </c>
      <c r="J48" s="703" t="s">
        <v>306</v>
      </c>
      <c r="K48" s="1458">
        <v>8.1</v>
      </c>
      <c r="L48" s="1458">
        <v>5.57</v>
      </c>
      <c r="M48" s="1458" t="s">
        <v>306</v>
      </c>
      <c r="O48" s="1454"/>
    </row>
    <row r="49" spans="1:16" s="243" customFormat="1" ht="9.9499999999999993" customHeight="1">
      <c r="A49" s="1473"/>
      <c r="B49" s="1473" t="s">
        <v>2454</v>
      </c>
      <c r="C49" s="1473" t="s">
        <v>2455</v>
      </c>
      <c r="D49" s="1477">
        <v>2.36</v>
      </c>
      <c r="E49" s="919" t="s">
        <v>306</v>
      </c>
      <c r="F49" s="1477">
        <v>4</v>
      </c>
      <c r="G49" s="1477" t="s">
        <v>306</v>
      </c>
      <c r="H49" s="919">
        <v>1.54</v>
      </c>
      <c r="I49" s="919" t="s">
        <v>306</v>
      </c>
      <c r="J49" s="919" t="s">
        <v>306</v>
      </c>
      <c r="K49" s="1477" t="s">
        <v>306</v>
      </c>
      <c r="L49" s="1477" t="s">
        <v>306</v>
      </c>
      <c r="M49" s="1477">
        <v>2.5</v>
      </c>
      <c r="O49" s="1454"/>
    </row>
    <row r="50" spans="1:16" s="288" customFormat="1" ht="9.9499999999999993" customHeight="1">
      <c r="A50" s="1482" t="s">
        <v>638</v>
      </c>
      <c r="B50" s="2276" t="s">
        <v>53</v>
      </c>
      <c r="C50" s="2276"/>
      <c r="D50" s="1458" t="s">
        <v>306</v>
      </c>
      <c r="E50" s="703">
        <v>1.8900000000000001</v>
      </c>
      <c r="F50" s="1458" t="s">
        <v>306</v>
      </c>
      <c r="G50" s="1458">
        <v>2.5</v>
      </c>
      <c r="H50" s="703" t="s">
        <v>306</v>
      </c>
      <c r="I50" s="703">
        <v>5.1499999999999995</v>
      </c>
      <c r="J50" s="703">
        <v>2.68</v>
      </c>
      <c r="K50" s="1458" t="s">
        <v>306</v>
      </c>
      <c r="L50" s="1458">
        <v>2.5</v>
      </c>
      <c r="M50" s="1458" t="s">
        <v>306</v>
      </c>
      <c r="O50" s="1454"/>
    </row>
    <row r="51" spans="1:16" s="243" customFormat="1" ht="9.9499999999999993" customHeight="1">
      <c r="A51" s="1476" t="s">
        <v>639</v>
      </c>
      <c r="B51" s="2277" t="s">
        <v>54</v>
      </c>
      <c r="C51" s="2277"/>
      <c r="D51" s="1477"/>
      <c r="E51" s="1477"/>
      <c r="F51" s="1477"/>
      <c r="G51" s="1477"/>
      <c r="H51" s="919"/>
      <c r="I51" s="919"/>
      <c r="J51" s="919"/>
      <c r="K51" s="1477"/>
      <c r="L51" s="1477"/>
      <c r="M51" s="1477"/>
      <c r="O51" s="1454"/>
    </row>
    <row r="52" spans="1:16" s="243" customFormat="1" ht="11.25" customHeight="1">
      <c r="A52" s="380"/>
      <c r="B52" s="1472" t="s">
        <v>666</v>
      </c>
      <c r="C52" s="1472" t="s">
        <v>251</v>
      </c>
      <c r="D52" s="1458"/>
      <c r="E52" s="1458"/>
      <c r="F52" s="1458"/>
      <c r="G52" s="1458"/>
      <c r="H52" s="703"/>
      <c r="I52" s="703"/>
      <c r="J52" s="703"/>
      <c r="K52" s="1458"/>
      <c r="L52" s="1458"/>
      <c r="M52" s="1458"/>
      <c r="O52" s="1454"/>
    </row>
    <row r="53" spans="1:16" s="243" customFormat="1" ht="9.9499999999999993" customHeight="1">
      <c r="A53" s="1478"/>
      <c r="B53" s="1473"/>
      <c r="C53" s="1473" t="s">
        <v>404</v>
      </c>
      <c r="D53" s="919">
        <v>5.91</v>
      </c>
      <c r="E53" s="919">
        <v>4.82</v>
      </c>
      <c r="F53" s="1477" t="s">
        <v>306</v>
      </c>
      <c r="G53" s="1477">
        <v>5.25</v>
      </c>
      <c r="H53" s="919">
        <v>5.5</v>
      </c>
      <c r="I53" s="919" t="s">
        <v>306</v>
      </c>
      <c r="J53" s="919" t="s">
        <v>306</v>
      </c>
      <c r="K53" s="1477">
        <v>9.65</v>
      </c>
      <c r="L53" s="1477">
        <v>5.86</v>
      </c>
      <c r="M53" s="1477">
        <v>7.5</v>
      </c>
      <c r="O53" s="1454"/>
      <c r="P53" s="1453"/>
    </row>
    <row r="54" spans="1:16" s="243" customFormat="1" ht="9.9499999999999993" customHeight="1">
      <c r="A54" s="380"/>
      <c r="B54" s="1472"/>
      <c r="C54" s="1472" t="s">
        <v>402</v>
      </c>
      <c r="D54" s="703">
        <v>6.18</v>
      </c>
      <c r="E54" s="703">
        <v>4.82</v>
      </c>
      <c r="F54" s="1458" t="s">
        <v>306</v>
      </c>
      <c r="G54" s="1458" t="s">
        <v>306</v>
      </c>
      <c r="H54" s="703" t="s">
        <v>306</v>
      </c>
      <c r="I54" s="703" t="s">
        <v>306</v>
      </c>
      <c r="J54" s="703" t="s">
        <v>306</v>
      </c>
      <c r="K54" s="1458" t="s">
        <v>306</v>
      </c>
      <c r="L54" s="1458">
        <v>6</v>
      </c>
      <c r="M54" s="1458">
        <v>7.5</v>
      </c>
      <c r="O54" s="1454"/>
    </row>
    <row r="55" spans="1:16" s="243" customFormat="1" ht="9.9499999999999993" customHeight="1">
      <c r="A55" s="1478"/>
      <c r="B55" s="1473"/>
      <c r="C55" s="1473" t="s">
        <v>403</v>
      </c>
      <c r="D55" s="1477" t="s">
        <v>306</v>
      </c>
      <c r="E55" s="919">
        <v>4.82</v>
      </c>
      <c r="F55" s="1477" t="s">
        <v>306</v>
      </c>
      <c r="G55" s="1477" t="s">
        <v>306</v>
      </c>
      <c r="H55" s="919" t="s">
        <v>306</v>
      </c>
      <c r="I55" s="919" t="s">
        <v>306</v>
      </c>
      <c r="J55" s="919" t="s">
        <v>306</v>
      </c>
      <c r="K55" s="1477" t="s">
        <v>306</v>
      </c>
      <c r="L55" s="1477">
        <v>4.6899999999999995</v>
      </c>
      <c r="M55" s="1477" t="s">
        <v>306</v>
      </c>
      <c r="O55" s="1454"/>
    </row>
    <row r="56" spans="1:16" s="243" customFormat="1" ht="10.5" customHeight="1">
      <c r="A56" s="380"/>
      <c r="B56" s="1472" t="s">
        <v>668</v>
      </c>
      <c r="C56" s="1472" t="s">
        <v>405</v>
      </c>
      <c r="D56" s="1458" t="s">
        <v>306</v>
      </c>
      <c r="E56" s="703">
        <v>4.82</v>
      </c>
      <c r="F56" s="1458">
        <v>6.5</v>
      </c>
      <c r="G56" s="1458" t="s">
        <v>306</v>
      </c>
      <c r="H56" s="703" t="s">
        <v>306</v>
      </c>
      <c r="I56" s="703">
        <v>8.74</v>
      </c>
      <c r="J56" s="703">
        <v>4.76</v>
      </c>
      <c r="K56" s="1458" t="s">
        <v>306</v>
      </c>
      <c r="L56" s="1458">
        <v>5.86</v>
      </c>
      <c r="M56" s="1458" t="s">
        <v>306</v>
      </c>
      <c r="O56" s="1454"/>
    </row>
    <row r="57" spans="1:16" s="520" customFormat="1" ht="10.5" customHeight="1" thickBot="1">
      <c r="A57" s="1144"/>
      <c r="B57" s="1145" t="s">
        <v>670</v>
      </c>
      <c r="C57" s="1145" t="s">
        <v>55</v>
      </c>
      <c r="D57" s="1027">
        <v>6.38</v>
      </c>
      <c r="E57" s="1027">
        <v>4.82</v>
      </c>
      <c r="F57" s="1417">
        <v>7</v>
      </c>
      <c r="G57" s="1417" t="s">
        <v>306</v>
      </c>
      <c r="H57" s="1027">
        <v>7.04</v>
      </c>
      <c r="I57" s="1027" t="s">
        <v>306</v>
      </c>
      <c r="J57" s="1027">
        <v>5.15</v>
      </c>
      <c r="K57" s="1417" t="s">
        <v>306</v>
      </c>
      <c r="L57" s="1417" t="s">
        <v>306</v>
      </c>
      <c r="M57" s="1417" t="s">
        <v>306</v>
      </c>
      <c r="O57" s="1454"/>
    </row>
    <row r="58" spans="1:16" s="33" customFormat="1" ht="9.75" customHeight="1">
      <c r="A58" s="2133" t="s">
        <v>1375</v>
      </c>
      <c r="B58" s="2278"/>
      <c r="C58" s="2278"/>
      <c r="D58" s="2278"/>
      <c r="E58" s="111"/>
      <c r="F58" s="111"/>
      <c r="G58" s="969"/>
      <c r="H58" s="111"/>
      <c r="I58" s="111"/>
      <c r="J58" s="111"/>
    </row>
    <row r="59" spans="1:16" s="8" customFormat="1" ht="9" customHeight="1">
      <c r="A59" s="9"/>
      <c r="C59" s="57" t="s">
        <v>406</v>
      </c>
      <c r="D59" s="1012"/>
      <c r="E59" s="1012"/>
      <c r="F59" s="1012"/>
      <c r="G59" s="238"/>
      <c r="H59" s="1012"/>
      <c r="I59" s="1012"/>
      <c r="J59" s="101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45" firstPageNumber="74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60"/>
  <sheetViews>
    <sheetView zoomScale="130" zoomScaleNormal="130" workbookViewId="0">
      <pane xSplit="1" ySplit="5" topLeftCell="B42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48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90" t="s">
        <v>57</v>
      </c>
      <c r="C1" s="2290"/>
      <c r="D1" s="2290"/>
      <c r="E1" s="2290"/>
      <c r="F1" s="2290"/>
      <c r="G1" s="2290"/>
      <c r="H1" s="2290"/>
      <c r="I1" s="2290"/>
      <c r="J1" s="1731"/>
      <c r="K1" s="2286" t="s">
        <v>649</v>
      </c>
      <c r="L1" s="2286"/>
      <c r="M1" s="2286"/>
      <c r="O1" s="2290" t="s">
        <v>17</v>
      </c>
      <c r="P1" s="2290"/>
      <c r="Q1" s="2290"/>
      <c r="R1" s="2290"/>
      <c r="S1" s="2290"/>
      <c r="T1" s="2290"/>
      <c r="U1" s="2290"/>
      <c r="V1" s="2290"/>
      <c r="W1" s="1731"/>
      <c r="X1" s="2286" t="s">
        <v>649</v>
      </c>
      <c r="Y1" s="2286"/>
      <c r="Z1" s="2286"/>
      <c r="AB1" s="2290" t="s">
        <v>18</v>
      </c>
      <c r="AC1" s="2290"/>
      <c r="AD1" s="2290"/>
      <c r="AE1" s="2290"/>
      <c r="AF1" s="2290"/>
      <c r="AG1" s="2290"/>
      <c r="AH1" s="2290"/>
      <c r="AI1" s="2290"/>
      <c r="AJ1" s="1731"/>
      <c r="AK1" s="2286" t="s">
        <v>653</v>
      </c>
      <c r="AL1" s="2286"/>
      <c r="AM1" s="2286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291" t="s">
        <v>554</v>
      </c>
      <c r="L2" s="2291"/>
      <c r="M2" s="2291"/>
      <c r="N2" s="79"/>
      <c r="O2" s="79"/>
      <c r="P2" s="79"/>
      <c r="Q2" s="79"/>
      <c r="R2" s="79"/>
      <c r="S2" s="79"/>
      <c r="T2" s="79"/>
      <c r="U2" s="79"/>
      <c r="V2" s="79"/>
      <c r="W2" s="79"/>
      <c r="X2" s="2285" t="s">
        <v>554</v>
      </c>
      <c r="Y2" s="2285"/>
      <c r="Z2" s="2285"/>
      <c r="AK2" s="2285" t="s">
        <v>554</v>
      </c>
      <c r="AL2" s="2285"/>
      <c r="AM2" s="2285"/>
    </row>
    <row r="3" spans="1:39" ht="12.75" customHeight="1">
      <c r="A3" s="2084" t="s">
        <v>527</v>
      </c>
      <c r="B3" s="2095" t="s">
        <v>2138</v>
      </c>
      <c r="C3" s="2096"/>
      <c r="D3" s="2096"/>
      <c r="E3" s="2096"/>
      <c r="F3" s="2096"/>
      <c r="G3" s="2096"/>
      <c r="H3" s="2096"/>
      <c r="I3" s="2096"/>
      <c r="J3" s="2096"/>
      <c r="K3" s="2096"/>
      <c r="L3" s="2096"/>
      <c r="M3" s="2289"/>
      <c r="N3" s="2084" t="s">
        <v>527</v>
      </c>
      <c r="O3" s="2095" t="s">
        <v>555</v>
      </c>
      <c r="P3" s="2096"/>
      <c r="Q3" s="2096"/>
      <c r="R3" s="2096"/>
      <c r="S3" s="2096"/>
      <c r="T3" s="2096"/>
      <c r="U3" s="2096"/>
      <c r="V3" s="2096"/>
      <c r="W3" s="2096"/>
      <c r="X3" s="2096"/>
      <c r="Y3" s="2096"/>
      <c r="Z3" s="2289"/>
      <c r="AA3" s="2084" t="s">
        <v>527</v>
      </c>
      <c r="AB3" s="2095" t="s">
        <v>555</v>
      </c>
      <c r="AC3" s="2096"/>
      <c r="AD3" s="2096"/>
      <c r="AE3" s="2096"/>
      <c r="AF3" s="2096"/>
      <c r="AG3" s="2096"/>
      <c r="AH3" s="2096"/>
      <c r="AI3" s="2096"/>
      <c r="AJ3" s="2096"/>
      <c r="AK3" s="2096"/>
      <c r="AL3" s="2096"/>
      <c r="AM3" s="2289"/>
    </row>
    <row r="4" spans="1:39" s="18" customFormat="1" ht="12.75" customHeight="1">
      <c r="A4" s="2084"/>
      <c r="B4" s="2288" t="s">
        <v>78</v>
      </c>
      <c r="C4" s="2288"/>
      <c r="D4" s="2103"/>
      <c r="E4" s="2287" t="s">
        <v>674</v>
      </c>
      <c r="F4" s="2288"/>
      <c r="G4" s="2103"/>
      <c r="H4" s="2287" t="s">
        <v>672</v>
      </c>
      <c r="I4" s="2288"/>
      <c r="J4" s="2103"/>
      <c r="K4" s="2287" t="s">
        <v>79</v>
      </c>
      <c r="L4" s="2288"/>
      <c r="M4" s="2103"/>
      <c r="N4" s="2084"/>
      <c r="O4" s="2287" t="s">
        <v>78</v>
      </c>
      <c r="P4" s="2288"/>
      <c r="Q4" s="2103"/>
      <c r="R4" s="2287" t="s">
        <v>674</v>
      </c>
      <c r="S4" s="2288"/>
      <c r="T4" s="2103"/>
      <c r="U4" s="2287" t="s">
        <v>672</v>
      </c>
      <c r="V4" s="2288"/>
      <c r="W4" s="2103"/>
      <c r="X4" s="2287" t="s">
        <v>79</v>
      </c>
      <c r="Y4" s="2288"/>
      <c r="Z4" s="2103"/>
      <c r="AA4" s="2084"/>
      <c r="AB4" s="2287" t="s">
        <v>78</v>
      </c>
      <c r="AC4" s="2288"/>
      <c r="AD4" s="2103"/>
      <c r="AE4" s="2287" t="s">
        <v>674</v>
      </c>
      <c r="AF4" s="2288"/>
      <c r="AG4" s="2103"/>
      <c r="AH4" s="2287" t="s">
        <v>672</v>
      </c>
      <c r="AI4" s="2288"/>
      <c r="AJ4" s="2103"/>
      <c r="AK4" s="2287" t="s">
        <v>79</v>
      </c>
      <c r="AL4" s="2288"/>
      <c r="AM4" s="2103"/>
    </row>
    <row r="5" spans="1:39" s="18" customFormat="1" ht="22.5" customHeight="1">
      <c r="A5" s="2084"/>
      <c r="B5" s="1728" t="s">
        <v>581</v>
      </c>
      <c r="C5" s="1210" t="s">
        <v>80</v>
      </c>
      <c r="D5" s="119" t="s">
        <v>681</v>
      </c>
      <c r="E5" s="1728" t="s">
        <v>581</v>
      </c>
      <c r="F5" s="1727" t="s">
        <v>80</v>
      </c>
      <c r="G5" s="119" t="s">
        <v>681</v>
      </c>
      <c r="H5" s="1728" t="s">
        <v>581</v>
      </c>
      <c r="I5" s="1727" t="s">
        <v>80</v>
      </c>
      <c r="J5" s="119" t="s">
        <v>681</v>
      </c>
      <c r="K5" s="1728" t="s">
        <v>581</v>
      </c>
      <c r="L5" s="1727" t="s">
        <v>80</v>
      </c>
      <c r="M5" s="119" t="s">
        <v>681</v>
      </c>
      <c r="N5" s="2084"/>
      <c r="O5" s="1728" t="s">
        <v>581</v>
      </c>
      <c r="P5" s="1727" t="s">
        <v>80</v>
      </c>
      <c r="Q5" s="119" t="s">
        <v>681</v>
      </c>
      <c r="R5" s="1728" t="s">
        <v>581</v>
      </c>
      <c r="S5" s="1727" t="s">
        <v>80</v>
      </c>
      <c r="T5" s="119" t="s">
        <v>681</v>
      </c>
      <c r="U5" s="1728" t="s">
        <v>581</v>
      </c>
      <c r="V5" s="1727" t="s">
        <v>80</v>
      </c>
      <c r="W5" s="119" t="s">
        <v>681</v>
      </c>
      <c r="X5" s="1728" t="s">
        <v>581</v>
      </c>
      <c r="Y5" s="1727" t="s">
        <v>80</v>
      </c>
      <c r="Z5" s="119" t="s">
        <v>681</v>
      </c>
      <c r="AA5" s="2084"/>
      <c r="AB5" s="1728" t="s">
        <v>581</v>
      </c>
      <c r="AC5" s="1727" t="s">
        <v>80</v>
      </c>
      <c r="AD5" s="119" t="s">
        <v>681</v>
      </c>
      <c r="AE5" s="1728" t="s">
        <v>581</v>
      </c>
      <c r="AF5" s="1727" t="s">
        <v>80</v>
      </c>
      <c r="AG5" s="119" t="s">
        <v>681</v>
      </c>
      <c r="AH5" s="1728" t="s">
        <v>581</v>
      </c>
      <c r="AI5" s="1727" t="s">
        <v>80</v>
      </c>
      <c r="AJ5" s="119" t="s">
        <v>681</v>
      </c>
      <c r="AK5" s="1728" t="s">
        <v>581</v>
      </c>
      <c r="AL5" s="1727" t="s">
        <v>80</v>
      </c>
      <c r="AM5" s="119" t="s">
        <v>681</v>
      </c>
    </row>
    <row r="6" spans="1:39" s="290" customFormat="1" ht="12.2" customHeight="1">
      <c r="A6" s="1439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439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439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0" customFormat="1" ht="12.2" customHeight="1">
      <c r="A7" s="338" t="s">
        <v>199</v>
      </c>
      <c r="B7" s="350">
        <v>0.16791666666666663</v>
      </c>
      <c r="C7" s="350">
        <v>0.24756944444444443</v>
      </c>
      <c r="D7" s="328">
        <v>0.43798611111111113</v>
      </c>
      <c r="E7" s="350">
        <v>0.33444444444444449</v>
      </c>
      <c r="F7" s="350">
        <v>0.39881944444444439</v>
      </c>
      <c r="G7" s="328">
        <v>0.64472222222222209</v>
      </c>
      <c r="H7" s="350">
        <v>0.50624999999999998</v>
      </c>
      <c r="I7" s="350">
        <v>0.66923611111111114</v>
      </c>
      <c r="J7" s="328">
        <v>0.94277777777777783</v>
      </c>
      <c r="K7" s="350">
        <v>0.73374999999999979</v>
      </c>
      <c r="L7" s="350">
        <v>0.93069444444444438</v>
      </c>
      <c r="M7" s="328">
        <v>1.0635416666666668</v>
      </c>
      <c r="N7" s="338" t="s">
        <v>199</v>
      </c>
      <c r="O7" s="350">
        <v>0.14000000000000004</v>
      </c>
      <c r="P7" s="350">
        <v>0.29643229166666668</v>
      </c>
      <c r="Q7" s="328">
        <v>0.40145833333333342</v>
      </c>
      <c r="R7" s="350">
        <v>0.19358333333333333</v>
      </c>
      <c r="S7" s="350">
        <v>0.41849999999999993</v>
      </c>
      <c r="T7" s="328">
        <v>0.53516666666666668</v>
      </c>
      <c r="U7" s="350">
        <v>0.28266666666666668</v>
      </c>
      <c r="V7" s="350">
        <v>0.55945833333333328</v>
      </c>
      <c r="W7" s="328">
        <v>0.64966666666666673</v>
      </c>
      <c r="X7" s="350">
        <v>0.5678333333333333</v>
      </c>
      <c r="Y7" s="350">
        <v>0.83166666666666655</v>
      </c>
      <c r="Z7" s="328">
        <v>0.87583333333333313</v>
      </c>
      <c r="AA7" s="338" t="s">
        <v>199</v>
      </c>
      <c r="AB7" s="350">
        <v>0.75583333333333336</v>
      </c>
      <c r="AC7" s="350">
        <v>0.28083333333333332</v>
      </c>
      <c r="AD7" s="328">
        <v>0.31277777777777777</v>
      </c>
      <c r="AE7" s="350">
        <v>1.0994444444444444</v>
      </c>
      <c r="AF7" s="350">
        <v>0.41625000000000001</v>
      </c>
      <c r="AG7" s="328">
        <v>0.53763888888888889</v>
      </c>
      <c r="AH7" s="350">
        <v>1.1913888888888888</v>
      </c>
      <c r="AI7" s="350">
        <v>0.5097222222222223</v>
      </c>
      <c r="AJ7" s="328">
        <v>0.62097222222222215</v>
      </c>
      <c r="AK7" s="350">
        <v>0.79916666666666647</v>
      </c>
      <c r="AL7" s="350">
        <v>0.54180555555555554</v>
      </c>
      <c r="AM7" s="328">
        <v>0.79249999999999998</v>
      </c>
    </row>
    <row r="8" spans="1:39" s="290" customFormat="1" ht="12.2" customHeight="1">
      <c r="A8" s="1439" t="s">
        <v>792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439" t="s">
        <v>792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439" t="s">
        <v>792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0" customFormat="1" ht="12.2" customHeight="1">
      <c r="A9" s="338" t="s">
        <v>908</v>
      </c>
      <c r="B9" s="350">
        <v>0.16958333333333339</v>
      </c>
      <c r="C9" s="350">
        <v>0.21965277777777778</v>
      </c>
      <c r="D9" s="328">
        <v>3.6111111111111114E-3</v>
      </c>
      <c r="E9" s="350">
        <v>0.19888888888888887</v>
      </c>
      <c r="F9" s="350">
        <v>0.28486111111111112</v>
      </c>
      <c r="G9" s="328">
        <v>5.0833333333333341E-2</v>
      </c>
      <c r="H9" s="350">
        <v>0.35916666666666669</v>
      </c>
      <c r="I9" s="350">
        <v>0.44350694444444455</v>
      </c>
      <c r="J9" s="328">
        <v>0.12611111111111115</v>
      </c>
      <c r="K9" s="350">
        <v>0.59020833333333322</v>
      </c>
      <c r="L9" s="350">
        <v>0.70586805555555554</v>
      </c>
      <c r="M9" s="328">
        <v>0.26034722222222223</v>
      </c>
      <c r="N9" s="338" t="s">
        <v>908</v>
      </c>
      <c r="O9" s="350">
        <v>9.2082500000000012E-2</v>
      </c>
      <c r="P9" s="350">
        <v>0.24228124999999998</v>
      </c>
      <c r="Q9" s="328">
        <v>0.18372943333333333</v>
      </c>
      <c r="R9" s="350">
        <v>0.18142521929166663</v>
      </c>
      <c r="S9" s="350">
        <v>0.38397137278333332</v>
      </c>
      <c r="T9" s="328">
        <v>0.29373464912499997</v>
      </c>
      <c r="U9" s="350">
        <v>0.29680622806666668</v>
      </c>
      <c r="V9" s="350">
        <v>0.43682707018333344</v>
      </c>
      <c r="W9" s="328">
        <v>0.38601997368333335</v>
      </c>
      <c r="X9" s="350">
        <v>0.80951328947222212</v>
      </c>
      <c r="Y9" s="350">
        <v>0.69534501314999997</v>
      </c>
      <c r="Z9" s="328">
        <v>0.51850818421666667</v>
      </c>
      <c r="AA9" s="338" t="s">
        <v>908</v>
      </c>
      <c r="AB9" s="350">
        <v>0.55041666666666667</v>
      </c>
      <c r="AC9" s="350">
        <v>0.39874999999999999</v>
      </c>
      <c r="AD9" s="328">
        <v>0.5</v>
      </c>
      <c r="AE9" s="350">
        <v>1.4790416666666666</v>
      </c>
      <c r="AF9" s="350">
        <v>0.55916666666666681</v>
      </c>
      <c r="AG9" s="328">
        <v>0.75</v>
      </c>
      <c r="AH9" s="350">
        <v>1.4741041666666668</v>
      </c>
      <c r="AI9" s="350">
        <v>0.68750000000000011</v>
      </c>
      <c r="AJ9" s="328">
        <v>0.62416666666666665</v>
      </c>
      <c r="AK9" s="350">
        <v>1.2992333333333332</v>
      </c>
      <c r="AL9" s="350">
        <v>0.85916666666666675</v>
      </c>
      <c r="AM9" s="328">
        <v>1.25</v>
      </c>
    </row>
    <row r="10" spans="1:39" s="175" customFormat="1" ht="12.2" customHeight="1">
      <c r="A10" s="372" t="s">
        <v>1108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2" t="s">
        <v>1108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2" t="s">
        <v>1108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0" customFormat="1" ht="12.2" customHeight="1">
      <c r="A11" s="1730" t="s">
        <v>1167</v>
      </c>
      <c r="B11" s="487">
        <v>6.0833333333333323E-2</v>
      </c>
      <c r="C11" s="487">
        <v>0.2014565555</v>
      </c>
      <c r="D11" s="487">
        <v>0</v>
      </c>
      <c r="E11" s="487">
        <v>3.8953055555555553E-2</v>
      </c>
      <c r="F11" s="487">
        <v>0.25167252783333338</v>
      </c>
      <c r="G11" s="487">
        <v>1.7500000000000002E-2</v>
      </c>
      <c r="H11" s="487">
        <v>8.435333333333335E-2</v>
      </c>
      <c r="I11" s="487">
        <v>0.36996055550000001</v>
      </c>
      <c r="J11" s="487">
        <v>1.0833333333333334E-2</v>
      </c>
      <c r="K11" s="487">
        <v>0.25765302783333327</v>
      </c>
      <c r="L11" s="487">
        <v>0.57783030549999992</v>
      </c>
      <c r="M11" s="487">
        <v>5.1990729166666673E-2</v>
      </c>
      <c r="N11" s="1730" t="s">
        <v>1167</v>
      </c>
      <c r="O11" s="487">
        <v>0.417658549951267</v>
      </c>
      <c r="P11" s="487">
        <v>0.42778127485021789</v>
      </c>
      <c r="Q11" s="487">
        <v>0.25705915530303031</v>
      </c>
      <c r="R11" s="487">
        <v>0.39406351697994985</v>
      </c>
      <c r="S11" s="487">
        <v>0.5138648752314815</v>
      </c>
      <c r="T11" s="487">
        <v>0.27559262629540598</v>
      </c>
      <c r="U11" s="487">
        <v>0.71116524939227155</v>
      </c>
      <c r="V11" s="487">
        <v>0.68667745396825397</v>
      </c>
      <c r="W11" s="487">
        <v>0.4250588182539683</v>
      </c>
      <c r="X11" s="487">
        <v>0.81893196351991071</v>
      </c>
      <c r="Y11" s="487">
        <v>1.0508996562908497</v>
      </c>
      <c r="Z11" s="487">
        <v>0.52704765201465198</v>
      </c>
      <c r="AA11" s="1730" t="s">
        <v>1167</v>
      </c>
      <c r="AB11" s="487">
        <v>1.0156928895833335</v>
      </c>
      <c r="AC11" s="487">
        <v>0.41749176666666665</v>
      </c>
      <c r="AD11" s="487">
        <v>0.46336752083333338</v>
      </c>
      <c r="AE11" s="487">
        <v>1.1542176916666664</v>
      </c>
      <c r="AF11" s="487">
        <v>0.57261966666666686</v>
      </c>
      <c r="AG11" s="487">
        <v>0.58483106666666662</v>
      </c>
      <c r="AH11" s="487">
        <v>0.76716723611111093</v>
      </c>
      <c r="AI11" s="487">
        <v>0.67324468055555553</v>
      </c>
      <c r="AJ11" s="487">
        <v>0.98999999999999988</v>
      </c>
      <c r="AK11" s="487">
        <v>0.94661391388888882</v>
      </c>
      <c r="AL11" s="487">
        <v>0.87057560555555547</v>
      </c>
      <c r="AM11" s="487">
        <v>1.0833333333333333</v>
      </c>
    </row>
    <row r="12" spans="1:39" s="280" customFormat="1" ht="12.2" customHeight="1">
      <c r="A12" s="1729" t="s">
        <v>1299</v>
      </c>
      <c r="B12" s="606">
        <v>0.13249999999999998</v>
      </c>
      <c r="C12" s="606">
        <v>0.18583333333333332</v>
      </c>
      <c r="D12" s="606">
        <v>0</v>
      </c>
      <c r="E12" s="606">
        <v>0.19583333333333333</v>
      </c>
      <c r="F12" s="606">
        <v>0.24333333333333332</v>
      </c>
      <c r="G12" s="606">
        <v>0</v>
      </c>
      <c r="H12" s="606">
        <v>0.34833333333333333</v>
      </c>
      <c r="I12" s="606">
        <v>0.36833333333333335</v>
      </c>
      <c r="J12" s="606">
        <v>0</v>
      </c>
      <c r="K12" s="606">
        <v>0.53416666666666668</v>
      </c>
      <c r="L12" s="606">
        <v>0.53833333333333333</v>
      </c>
      <c r="M12" s="606">
        <v>0</v>
      </c>
      <c r="N12" s="1729" t="s">
        <v>1299</v>
      </c>
      <c r="O12" s="606">
        <v>0.43916666666666665</v>
      </c>
      <c r="P12" s="606">
        <v>0.4283333333333334</v>
      </c>
      <c r="Q12" s="606">
        <v>0.29750000000000004</v>
      </c>
      <c r="R12" s="606">
        <v>0.47166666666666668</v>
      </c>
      <c r="S12" s="606">
        <v>0.50166666666666659</v>
      </c>
      <c r="T12" s="606">
        <v>0.3066666666666667</v>
      </c>
      <c r="U12" s="606">
        <v>1.1066666666666667</v>
      </c>
      <c r="V12" s="606">
        <v>0.70416666666666661</v>
      </c>
      <c r="W12" s="606">
        <v>0.48750000000000004</v>
      </c>
      <c r="X12" s="606">
        <v>1.1833333333333333</v>
      </c>
      <c r="Y12" s="606">
        <v>0.90083333333333326</v>
      </c>
      <c r="Z12" s="606">
        <v>0.51250000000000007</v>
      </c>
      <c r="AA12" s="1729" t="s">
        <v>1299</v>
      </c>
      <c r="AB12" s="606">
        <v>1.0274999999999999</v>
      </c>
      <c r="AC12" s="606">
        <v>0.43500000000000005</v>
      </c>
      <c r="AD12" s="606">
        <v>0.51666666666666672</v>
      </c>
      <c r="AE12" s="606">
        <v>1.1783333333333332</v>
      </c>
      <c r="AF12" s="606">
        <v>0.65</v>
      </c>
      <c r="AG12" s="606">
        <v>0.63166666666666671</v>
      </c>
      <c r="AH12" s="606">
        <v>0.83250000000000002</v>
      </c>
      <c r="AI12" s="606">
        <v>0.71166666666666656</v>
      </c>
      <c r="AJ12" s="606">
        <v>0.9</v>
      </c>
      <c r="AK12" s="606">
        <v>0.9558333333333332</v>
      </c>
      <c r="AL12" s="606">
        <v>0.89583333333333337</v>
      </c>
      <c r="AM12" s="606">
        <v>1.0983333333333334</v>
      </c>
    </row>
    <row r="13" spans="1:39" s="280" customFormat="1" ht="12.2" customHeight="1">
      <c r="A13" s="1730" t="s">
        <v>1332</v>
      </c>
      <c r="B13" s="487">
        <v>0.46749999999999997</v>
      </c>
      <c r="C13" s="487">
        <v>3.1666666666666676E-2</v>
      </c>
      <c r="D13" s="487">
        <v>0</v>
      </c>
      <c r="E13" s="487">
        <v>0.56916666666666671</v>
      </c>
      <c r="F13" s="487">
        <v>0.2525</v>
      </c>
      <c r="G13" s="487">
        <v>0</v>
      </c>
      <c r="H13" s="487">
        <v>0.86916666666666675</v>
      </c>
      <c r="I13" s="487">
        <v>0.21083333333333334</v>
      </c>
      <c r="J13" s="487">
        <v>0</v>
      </c>
      <c r="K13" s="487">
        <v>1.095</v>
      </c>
      <c r="L13" s="487">
        <v>0.36166666666666664</v>
      </c>
      <c r="M13" s="487">
        <v>0</v>
      </c>
      <c r="N13" s="1730" t="s">
        <v>1332</v>
      </c>
      <c r="O13" s="487">
        <v>0.48500000000000004</v>
      </c>
      <c r="P13" s="487">
        <v>0.30583333333333335</v>
      </c>
      <c r="Q13" s="487">
        <v>0.32083333333333336</v>
      </c>
      <c r="R13" s="487">
        <v>0.85083333333333344</v>
      </c>
      <c r="S13" s="487">
        <v>0.37666666666666665</v>
      </c>
      <c r="T13" s="487">
        <v>0.25500000000000006</v>
      </c>
      <c r="U13" s="487">
        <v>0.90499999999999992</v>
      </c>
      <c r="V13" s="487">
        <v>0.50666666666666671</v>
      </c>
      <c r="W13" s="487">
        <v>0.38333333333333336</v>
      </c>
      <c r="X13" s="487">
        <v>1.0366666666666666</v>
      </c>
      <c r="Y13" s="487">
        <v>0.62916666666666676</v>
      </c>
      <c r="Z13" s="487">
        <v>0.46416666666666662</v>
      </c>
      <c r="AA13" s="1730" t="s">
        <v>1332</v>
      </c>
      <c r="AB13" s="487">
        <v>1.01</v>
      </c>
      <c r="AC13" s="487">
        <v>0.44416666666666665</v>
      </c>
      <c r="AD13" s="487">
        <v>0.49166666666666664</v>
      </c>
      <c r="AE13" s="487">
        <v>1.1283333333333334</v>
      </c>
      <c r="AF13" s="487">
        <v>0.58333333333333337</v>
      </c>
      <c r="AG13" s="487">
        <v>0.47666666666666657</v>
      </c>
      <c r="AH13" s="487">
        <v>0.86666666666666659</v>
      </c>
      <c r="AI13" s="487">
        <v>0.67249999999999999</v>
      </c>
      <c r="AJ13" s="487">
        <v>0.72916666666666663</v>
      </c>
      <c r="AK13" s="487">
        <v>1.0458333333333332</v>
      </c>
      <c r="AL13" s="487">
        <v>0.80000000000000016</v>
      </c>
      <c r="AM13" s="487">
        <v>0.9291666666666667</v>
      </c>
    </row>
    <row r="14" spans="1:39" s="280" customFormat="1" ht="12.2" customHeight="1">
      <c r="A14" s="1729" t="s">
        <v>1471</v>
      </c>
      <c r="B14" s="606">
        <v>1.0958333333333334</v>
      </c>
      <c r="C14" s="606">
        <v>0.17250000000000001</v>
      </c>
      <c r="D14" s="606">
        <v>0</v>
      </c>
      <c r="E14" s="606">
        <v>1.2591666666666668</v>
      </c>
      <c r="F14" s="606">
        <v>0.23833333333333337</v>
      </c>
      <c r="G14" s="606">
        <v>0</v>
      </c>
      <c r="H14" s="606">
        <v>1.7641666666666664</v>
      </c>
      <c r="I14" s="606">
        <v>0.40750000000000003</v>
      </c>
      <c r="J14" s="606">
        <v>0</v>
      </c>
      <c r="K14" s="606">
        <v>1.9741666666666668</v>
      </c>
      <c r="L14" s="606">
        <v>0.56000000000000005</v>
      </c>
      <c r="M14" s="606">
        <v>0</v>
      </c>
      <c r="N14" s="1729" t="s">
        <v>1471</v>
      </c>
      <c r="O14" s="606">
        <v>0.77499999999999991</v>
      </c>
      <c r="P14" s="606">
        <v>0.30499999999999999</v>
      </c>
      <c r="Q14" s="606">
        <v>0.16999999999999996</v>
      </c>
      <c r="R14" s="606">
        <v>1.6150000000000002</v>
      </c>
      <c r="S14" s="606">
        <v>0.38666666666666671</v>
      </c>
      <c r="T14" s="606">
        <v>0.17833333333333332</v>
      </c>
      <c r="U14" s="606">
        <v>0.98749999999999993</v>
      </c>
      <c r="V14" s="606">
        <v>0.5083333333333333</v>
      </c>
      <c r="W14" s="606">
        <v>0.24583333333333335</v>
      </c>
      <c r="X14" s="606">
        <v>1.0891666666666666</v>
      </c>
      <c r="Y14" s="606">
        <v>0.57500000000000007</v>
      </c>
      <c r="Z14" s="606">
        <v>0.31749999999999995</v>
      </c>
      <c r="AA14" s="1729" t="s">
        <v>1471</v>
      </c>
      <c r="AB14" s="606">
        <v>0.87833333333333341</v>
      </c>
      <c r="AC14" s="606">
        <v>0.53999999999999992</v>
      </c>
      <c r="AD14" s="606">
        <v>0.52083333333333337</v>
      </c>
      <c r="AE14" s="606">
        <v>0.79499999999999993</v>
      </c>
      <c r="AF14" s="606">
        <v>0.58083333333333342</v>
      </c>
      <c r="AG14" s="606">
        <v>0.38999999999999996</v>
      </c>
      <c r="AH14" s="606">
        <v>0.85083333333333322</v>
      </c>
      <c r="AI14" s="606">
        <v>0.66500000000000004</v>
      </c>
      <c r="AJ14" s="606">
        <v>0.57250000000000012</v>
      </c>
      <c r="AK14" s="606">
        <v>1.1216666666666666</v>
      </c>
      <c r="AL14" s="606">
        <v>0.76499999999999979</v>
      </c>
      <c r="AM14" s="606">
        <v>0.72166666666666668</v>
      </c>
    </row>
    <row r="15" spans="1:39" s="280" customFormat="1" ht="12.2" customHeight="1">
      <c r="A15" s="1730" t="s">
        <v>1600</v>
      </c>
      <c r="B15" s="487">
        <v>1.7266666666666666</v>
      </c>
      <c r="C15" s="487">
        <v>0.41750000000000004</v>
      </c>
      <c r="D15" s="487">
        <v>0</v>
      </c>
      <c r="E15" s="487">
        <v>1.8933333333333333</v>
      </c>
      <c r="F15" s="487">
        <v>0.51500000000000001</v>
      </c>
      <c r="G15" s="487">
        <v>0</v>
      </c>
      <c r="H15" s="487">
        <v>2.4766666666666661</v>
      </c>
      <c r="I15" s="487">
        <v>0.75499999999999989</v>
      </c>
      <c r="J15" s="487">
        <v>0</v>
      </c>
      <c r="K15" s="487">
        <v>2.6724999999999999</v>
      </c>
      <c r="L15" s="487">
        <v>0.89916666666666678</v>
      </c>
      <c r="M15" s="487">
        <v>0</v>
      </c>
      <c r="N15" s="1730" t="s">
        <v>1600</v>
      </c>
      <c r="O15" s="487">
        <v>1.3325</v>
      </c>
      <c r="P15" s="487">
        <v>0.35666666666666669</v>
      </c>
      <c r="Q15" s="487">
        <v>0.16249999999999998</v>
      </c>
      <c r="R15" s="487">
        <v>1.6400000000000003</v>
      </c>
      <c r="S15" s="487">
        <v>0.52083333333333337</v>
      </c>
      <c r="T15" s="487">
        <v>0.16749999999999998</v>
      </c>
      <c r="U15" s="487">
        <v>1.5008333333333335</v>
      </c>
      <c r="V15" s="487">
        <v>0.56500000000000006</v>
      </c>
      <c r="W15" s="487">
        <v>0.23916666666666667</v>
      </c>
      <c r="X15" s="487">
        <v>1.6074999999999999</v>
      </c>
      <c r="Y15" s="487">
        <v>0.69249999999999989</v>
      </c>
      <c r="Z15" s="487">
        <v>0.3116666666666667</v>
      </c>
      <c r="AA15" s="1730" t="s">
        <v>1600</v>
      </c>
      <c r="AB15" s="487">
        <v>1.0008333333333332</v>
      </c>
      <c r="AC15" s="487">
        <v>0.60750000000000004</v>
      </c>
      <c r="AD15" s="487">
        <v>0.54666666666666675</v>
      </c>
      <c r="AE15" s="487">
        <v>0.80083333333333329</v>
      </c>
      <c r="AF15" s="487">
        <v>0.63749999999999996</v>
      </c>
      <c r="AG15" s="487">
        <v>0.36333333333333334</v>
      </c>
      <c r="AH15" s="487">
        <v>1.0150000000000001</v>
      </c>
      <c r="AI15" s="487">
        <v>0.76250000000000007</v>
      </c>
      <c r="AJ15" s="487">
        <v>0.53000000000000014</v>
      </c>
      <c r="AK15" s="487">
        <v>1.280833333333333</v>
      </c>
      <c r="AL15" s="487">
        <v>0.83916666666666673</v>
      </c>
      <c r="AM15" s="487">
        <v>0.70000000000000007</v>
      </c>
    </row>
    <row r="16" spans="1:39" s="280" customFormat="1" ht="12.2" customHeight="1">
      <c r="A16" s="618" t="s">
        <v>1695</v>
      </c>
      <c r="B16" s="599">
        <v>1.2866666666666668</v>
      </c>
      <c r="C16" s="599">
        <v>0.34249999999999997</v>
      </c>
      <c r="D16" s="599">
        <v>0</v>
      </c>
      <c r="E16" s="599">
        <v>1.1883333333333332</v>
      </c>
      <c r="F16" s="599">
        <v>0.41916666666666669</v>
      </c>
      <c r="G16" s="599">
        <v>0</v>
      </c>
      <c r="H16" s="599">
        <v>1.4416666666666667</v>
      </c>
      <c r="I16" s="599">
        <v>0.5675</v>
      </c>
      <c r="J16" s="599">
        <v>0</v>
      </c>
      <c r="K16" s="599">
        <v>1.47</v>
      </c>
      <c r="L16" s="599">
        <v>0.66416666666666668</v>
      </c>
      <c r="M16" s="599">
        <v>0</v>
      </c>
      <c r="N16" s="618" t="s">
        <v>1695</v>
      </c>
      <c r="O16" s="599">
        <v>1.0566666666666669</v>
      </c>
      <c r="P16" s="599">
        <v>0.40333333333333338</v>
      </c>
      <c r="Q16" s="599">
        <v>0.22333333333333336</v>
      </c>
      <c r="R16" s="599">
        <v>1.1266666666666667</v>
      </c>
      <c r="S16" s="599">
        <v>0.55666666666666675</v>
      </c>
      <c r="T16" s="599">
        <v>0.19249999999999998</v>
      </c>
      <c r="U16" s="599">
        <v>1.1741666666666668</v>
      </c>
      <c r="V16" s="599">
        <v>0.53500000000000003</v>
      </c>
      <c r="W16" s="599">
        <v>0.255</v>
      </c>
      <c r="X16" s="599">
        <v>1.3241666666666667</v>
      </c>
      <c r="Y16" s="599">
        <v>0.6991666666666666</v>
      </c>
      <c r="Z16" s="599">
        <v>0.32</v>
      </c>
      <c r="AA16" s="618" t="s">
        <v>1695</v>
      </c>
      <c r="AB16" s="599">
        <v>0.82250000000000012</v>
      </c>
      <c r="AC16" s="599">
        <v>0.4941666666666667</v>
      </c>
      <c r="AD16" s="599">
        <v>0.52750000000000008</v>
      </c>
      <c r="AE16" s="599">
        <v>0.93583333333333352</v>
      </c>
      <c r="AF16" s="599">
        <v>0.6349999999999999</v>
      </c>
      <c r="AG16" s="599">
        <v>0.37916666666666671</v>
      </c>
      <c r="AH16" s="599">
        <v>0.9291666666666667</v>
      </c>
      <c r="AI16" s="599">
        <v>0.80750000000000011</v>
      </c>
      <c r="AJ16" s="599">
        <v>0.56666666666666676</v>
      </c>
      <c r="AK16" s="599">
        <v>1.1291666666666667</v>
      </c>
      <c r="AL16" s="599">
        <v>0.81083333333333341</v>
      </c>
      <c r="AM16" s="599">
        <v>0.75</v>
      </c>
    </row>
    <row r="17" spans="1:39" s="280" customFormat="1" ht="12.2" customHeight="1">
      <c r="A17" s="670" t="s">
        <v>1764</v>
      </c>
      <c r="B17" s="671">
        <f>AVERAGE(B18:B29)</f>
        <v>0.13500000000000004</v>
      </c>
      <c r="C17" s="671">
        <f t="shared" ref="C17:M17" si="0">AVERAGE(C18:C29)</f>
        <v>5.2500000000000012E-2</v>
      </c>
      <c r="D17" s="671">
        <f t="shared" si="0"/>
        <v>0</v>
      </c>
      <c r="E17" s="671">
        <f t="shared" si="0"/>
        <v>0.18333333333333332</v>
      </c>
      <c r="F17" s="671">
        <f t="shared" si="0"/>
        <v>7.4166666666666672E-2</v>
      </c>
      <c r="G17" s="671">
        <f t="shared" si="0"/>
        <v>0</v>
      </c>
      <c r="H17" s="671">
        <f t="shared" si="0"/>
        <v>0.18833333333333332</v>
      </c>
      <c r="I17" s="671">
        <f t="shared" si="0"/>
        <v>0.10000000000000002</v>
      </c>
      <c r="J17" s="671">
        <f t="shared" si="0"/>
        <v>0</v>
      </c>
      <c r="K17" s="671">
        <f t="shared" si="0"/>
        <v>0.22583333333333333</v>
      </c>
      <c r="L17" s="671">
        <f t="shared" si="0"/>
        <v>0.15250000000000002</v>
      </c>
      <c r="M17" s="671">
        <f t="shared" si="0"/>
        <v>0</v>
      </c>
      <c r="N17" s="670" t="s">
        <v>1764</v>
      </c>
      <c r="O17" s="671">
        <f t="shared" ref="O17:Z17" si="1">AVERAGE(O18:O29)</f>
        <v>0.27916666666666662</v>
      </c>
      <c r="P17" s="671">
        <f t="shared" si="1"/>
        <v>0.12083333333333336</v>
      </c>
      <c r="Q17" s="671">
        <f t="shared" si="1"/>
        <v>8.2500000000000018E-2</v>
      </c>
      <c r="R17" s="671">
        <f t="shared" si="1"/>
        <v>0.46666666666666673</v>
      </c>
      <c r="S17" s="671">
        <f t="shared" si="1"/>
        <v>0.27333333333333337</v>
      </c>
      <c r="T17" s="671">
        <f t="shared" si="1"/>
        <v>0.14833333333333332</v>
      </c>
      <c r="U17" s="671">
        <f t="shared" si="1"/>
        <v>0.46333333333333321</v>
      </c>
      <c r="V17" s="671">
        <f t="shared" si="1"/>
        <v>0.31583333333333335</v>
      </c>
      <c r="W17" s="671">
        <f t="shared" si="1"/>
        <v>0.22916666666666663</v>
      </c>
      <c r="X17" s="671">
        <f t="shared" si="1"/>
        <v>0.69916666666666671</v>
      </c>
      <c r="Y17" s="671">
        <f t="shared" si="1"/>
        <v>0.49</v>
      </c>
      <c r="Z17" s="671">
        <f t="shared" si="1"/>
        <v>0.32</v>
      </c>
      <c r="AA17" s="670" t="s">
        <v>1764</v>
      </c>
      <c r="AB17" s="671">
        <f t="shared" ref="AB17:AM17" si="2">AVERAGE(AB18:AB29)</f>
        <v>0.48583333333333334</v>
      </c>
      <c r="AC17" s="671">
        <f t="shared" si="2"/>
        <v>0.38250000000000001</v>
      </c>
      <c r="AD17" s="671">
        <f t="shared" si="2"/>
        <v>0.54333333333333333</v>
      </c>
      <c r="AE17" s="671">
        <f t="shared" si="2"/>
        <v>0.75083333333333346</v>
      </c>
      <c r="AF17" s="671">
        <f t="shared" si="2"/>
        <v>0.46249999999999997</v>
      </c>
      <c r="AG17" s="671">
        <f t="shared" si="2"/>
        <v>0.46249999999999997</v>
      </c>
      <c r="AH17" s="671">
        <f t="shared" si="2"/>
        <v>0.57999999999999996</v>
      </c>
      <c r="AI17" s="671">
        <f t="shared" si="2"/>
        <v>0.71999999999999986</v>
      </c>
      <c r="AJ17" s="671">
        <f t="shared" si="2"/>
        <v>0.69499999999999995</v>
      </c>
      <c r="AK17" s="671">
        <f t="shared" si="2"/>
        <v>0.6758333333333334</v>
      </c>
      <c r="AL17" s="671">
        <f t="shared" si="2"/>
        <v>0.69750000000000012</v>
      </c>
      <c r="AM17" s="671">
        <f t="shared" si="2"/>
        <v>0.92499999999999993</v>
      </c>
    </row>
    <row r="18" spans="1:39" s="280" customFormat="1" ht="12.2" customHeight="1">
      <c r="A18" s="591" t="s">
        <v>606</v>
      </c>
      <c r="B18" s="253">
        <v>0.18</v>
      </c>
      <c r="C18" s="606">
        <v>0.1</v>
      </c>
      <c r="D18" s="606">
        <v>0</v>
      </c>
      <c r="E18" s="606">
        <v>0.12</v>
      </c>
      <c r="F18" s="606">
        <v>0.19</v>
      </c>
      <c r="G18" s="606">
        <v>0</v>
      </c>
      <c r="H18" s="606">
        <v>0.21</v>
      </c>
      <c r="I18" s="606">
        <v>0.12</v>
      </c>
      <c r="J18" s="606">
        <v>0</v>
      </c>
      <c r="K18" s="606">
        <v>0.37</v>
      </c>
      <c r="L18" s="606">
        <v>0.27</v>
      </c>
      <c r="M18" s="606">
        <v>0</v>
      </c>
      <c r="N18" s="591" t="s">
        <v>606</v>
      </c>
      <c r="O18" s="606">
        <v>0.43</v>
      </c>
      <c r="P18" s="606">
        <v>0.25</v>
      </c>
      <c r="Q18" s="606">
        <v>0.22</v>
      </c>
      <c r="R18" s="606">
        <v>0.68</v>
      </c>
      <c r="S18" s="606">
        <v>0.44</v>
      </c>
      <c r="T18" s="606">
        <v>0.22</v>
      </c>
      <c r="U18" s="606">
        <v>0.7</v>
      </c>
      <c r="V18" s="606">
        <v>0.39</v>
      </c>
      <c r="W18" s="606">
        <v>0.28000000000000003</v>
      </c>
      <c r="X18" s="606">
        <v>0.93</v>
      </c>
      <c r="Y18" s="606">
        <v>0.53</v>
      </c>
      <c r="Z18" s="606">
        <v>0.35</v>
      </c>
      <c r="AA18" s="591" t="s">
        <v>606</v>
      </c>
      <c r="AB18" s="606">
        <v>0.42</v>
      </c>
      <c r="AC18" s="606">
        <v>0.49</v>
      </c>
      <c r="AD18" s="606">
        <v>0.56999999999999995</v>
      </c>
      <c r="AE18" s="606">
        <v>0.87</v>
      </c>
      <c r="AF18" s="606">
        <v>0.57999999999999996</v>
      </c>
      <c r="AG18" s="606">
        <v>0.35</v>
      </c>
      <c r="AH18" s="606">
        <v>0.65</v>
      </c>
      <c r="AI18" s="606">
        <v>0.81</v>
      </c>
      <c r="AJ18" s="606">
        <v>0.53</v>
      </c>
      <c r="AK18" s="606">
        <v>0.84</v>
      </c>
      <c r="AL18" s="606">
        <v>0.81</v>
      </c>
      <c r="AM18" s="606">
        <v>0.7</v>
      </c>
    </row>
    <row r="19" spans="1:39" s="280" customFormat="1" ht="12.2" customHeight="1">
      <c r="A19" s="633" t="s">
        <v>607</v>
      </c>
      <c r="B19" s="318">
        <v>0.17</v>
      </c>
      <c r="C19" s="487">
        <v>7.0000000000000007E-2</v>
      </c>
      <c r="D19" s="487">
        <v>0</v>
      </c>
      <c r="E19" s="487">
        <v>7.0000000000000007E-2</v>
      </c>
      <c r="F19" s="487">
        <v>0.11</v>
      </c>
      <c r="G19" s="487">
        <v>0</v>
      </c>
      <c r="H19" s="487">
        <v>0.17</v>
      </c>
      <c r="I19" s="487">
        <v>0.34</v>
      </c>
      <c r="J19" s="487">
        <v>0</v>
      </c>
      <c r="K19" s="487">
        <v>0.31</v>
      </c>
      <c r="L19" s="487">
        <v>0.16</v>
      </c>
      <c r="M19" s="487">
        <v>0</v>
      </c>
      <c r="N19" s="633" t="s">
        <v>607</v>
      </c>
      <c r="O19" s="487">
        <v>0.37</v>
      </c>
      <c r="P19" s="487">
        <v>0.17</v>
      </c>
      <c r="Q19" s="487">
        <v>0.17</v>
      </c>
      <c r="R19" s="487">
        <v>0.56999999999999995</v>
      </c>
      <c r="S19" s="487">
        <v>0.4</v>
      </c>
      <c r="T19" s="487">
        <v>0.17</v>
      </c>
      <c r="U19" s="487">
        <v>0.56999999999999995</v>
      </c>
      <c r="V19" s="487">
        <v>0.36</v>
      </c>
      <c r="W19" s="487">
        <v>0.23</v>
      </c>
      <c r="X19" s="487">
        <v>0.79</v>
      </c>
      <c r="Y19" s="487">
        <v>0.42</v>
      </c>
      <c r="Z19" s="487">
        <v>0.3</v>
      </c>
      <c r="AA19" s="633" t="s">
        <v>607</v>
      </c>
      <c r="AB19" s="487">
        <v>0.55000000000000004</v>
      </c>
      <c r="AC19" s="487">
        <v>0.48</v>
      </c>
      <c r="AD19" s="487">
        <v>0.56999999999999995</v>
      </c>
      <c r="AE19" s="487">
        <v>0.98</v>
      </c>
      <c r="AF19" s="487">
        <v>0.6</v>
      </c>
      <c r="AG19" s="487">
        <v>0.5</v>
      </c>
      <c r="AH19" s="487">
        <v>0.74</v>
      </c>
      <c r="AI19" s="487">
        <v>0.9</v>
      </c>
      <c r="AJ19" s="487">
        <v>0.75</v>
      </c>
      <c r="AK19" s="487">
        <v>0.83</v>
      </c>
      <c r="AL19" s="487">
        <v>0.63</v>
      </c>
      <c r="AM19" s="487">
        <v>1</v>
      </c>
    </row>
    <row r="20" spans="1:39" s="280" customFormat="1" ht="12.2" customHeight="1">
      <c r="A20" s="591" t="s">
        <v>601</v>
      </c>
      <c r="B20" s="253">
        <v>0.12</v>
      </c>
      <c r="C20" s="606">
        <v>0.04</v>
      </c>
      <c r="D20" s="606">
        <v>0</v>
      </c>
      <c r="E20" s="606">
        <v>0.18</v>
      </c>
      <c r="F20" s="606">
        <v>0.05</v>
      </c>
      <c r="G20" s="606">
        <v>0</v>
      </c>
      <c r="H20" s="606">
        <v>0.17</v>
      </c>
      <c r="I20" s="606">
        <v>0.08</v>
      </c>
      <c r="J20" s="606">
        <v>0</v>
      </c>
      <c r="K20" s="606">
        <v>0.31</v>
      </c>
      <c r="L20" s="606">
        <v>0.17</v>
      </c>
      <c r="M20" s="606">
        <v>0</v>
      </c>
      <c r="N20" s="591" t="s">
        <v>601</v>
      </c>
      <c r="O20" s="606">
        <v>0.33</v>
      </c>
      <c r="P20" s="606">
        <v>0.13</v>
      </c>
      <c r="Q20" s="606">
        <v>0.04</v>
      </c>
      <c r="R20" s="606">
        <v>0.53</v>
      </c>
      <c r="S20" s="606">
        <v>0.37</v>
      </c>
      <c r="T20" s="606">
        <v>0.12</v>
      </c>
      <c r="U20" s="606">
        <v>0.52</v>
      </c>
      <c r="V20" s="606">
        <v>0.3</v>
      </c>
      <c r="W20" s="606">
        <v>0.2</v>
      </c>
      <c r="X20" s="606">
        <v>0.71</v>
      </c>
      <c r="Y20" s="606">
        <v>0.37</v>
      </c>
      <c r="Z20" s="606">
        <v>0.28999999999999998</v>
      </c>
      <c r="AA20" s="591" t="s">
        <v>601</v>
      </c>
      <c r="AB20" s="606">
        <v>0.45</v>
      </c>
      <c r="AC20" s="606">
        <v>0.5</v>
      </c>
      <c r="AD20" s="606">
        <v>0.56999999999999995</v>
      </c>
      <c r="AE20" s="606">
        <v>0.87</v>
      </c>
      <c r="AF20" s="606">
        <v>0.56999999999999995</v>
      </c>
      <c r="AG20" s="606">
        <v>0.35</v>
      </c>
      <c r="AH20" s="606">
        <v>0.64</v>
      </c>
      <c r="AI20" s="606">
        <v>0.61</v>
      </c>
      <c r="AJ20" s="606">
        <v>0.53</v>
      </c>
      <c r="AK20" s="606">
        <v>0.7</v>
      </c>
      <c r="AL20" s="606">
        <v>0.67</v>
      </c>
      <c r="AM20" s="606">
        <v>0.7</v>
      </c>
    </row>
    <row r="21" spans="1:39" s="280" customFormat="1" ht="12.2" customHeight="1">
      <c r="A21" s="633" t="s">
        <v>608</v>
      </c>
      <c r="B21" s="318">
        <v>0.15</v>
      </c>
      <c r="C21" s="487">
        <v>0.05</v>
      </c>
      <c r="D21" s="487">
        <v>0</v>
      </c>
      <c r="E21" s="487">
        <v>0.23</v>
      </c>
      <c r="F21" s="487">
        <v>0.06</v>
      </c>
      <c r="G21" s="487">
        <v>0</v>
      </c>
      <c r="H21" s="487">
        <v>0.18</v>
      </c>
      <c r="I21" s="487">
        <v>0.09</v>
      </c>
      <c r="J21" s="487">
        <v>0</v>
      </c>
      <c r="K21" s="487">
        <v>0.23</v>
      </c>
      <c r="L21" s="487">
        <v>0.16</v>
      </c>
      <c r="M21" s="487">
        <v>0</v>
      </c>
      <c r="N21" s="633" t="s">
        <v>608</v>
      </c>
      <c r="O21" s="487">
        <v>0.32</v>
      </c>
      <c r="P21" s="487">
        <v>0.12</v>
      </c>
      <c r="Q21" s="487">
        <v>0.04</v>
      </c>
      <c r="R21" s="487">
        <v>0.46</v>
      </c>
      <c r="S21" s="487">
        <v>0.23</v>
      </c>
      <c r="T21" s="487">
        <v>0.12</v>
      </c>
      <c r="U21" s="487">
        <v>0.49</v>
      </c>
      <c r="V21" s="487">
        <v>0.28999999999999998</v>
      </c>
      <c r="W21" s="487">
        <v>0.2</v>
      </c>
      <c r="X21" s="487">
        <v>0.68</v>
      </c>
      <c r="Y21" s="487">
        <v>0.39</v>
      </c>
      <c r="Z21" s="487">
        <v>0.28999999999999998</v>
      </c>
      <c r="AA21" s="633" t="s">
        <v>608</v>
      </c>
      <c r="AB21" s="487">
        <v>0.42</v>
      </c>
      <c r="AC21" s="487">
        <v>0.51</v>
      </c>
      <c r="AD21" s="487">
        <v>0.56999999999999995</v>
      </c>
      <c r="AE21" s="487">
        <v>1.01</v>
      </c>
      <c r="AF21" s="487">
        <v>0.56000000000000005</v>
      </c>
      <c r="AG21" s="487">
        <v>0.35</v>
      </c>
      <c r="AH21" s="487">
        <v>0.72</v>
      </c>
      <c r="AI21" s="487">
        <v>0.59</v>
      </c>
      <c r="AJ21" s="487">
        <v>0.53</v>
      </c>
      <c r="AK21" s="487">
        <v>0.84</v>
      </c>
      <c r="AL21" s="487">
        <v>0.67</v>
      </c>
      <c r="AM21" s="487">
        <v>0.7</v>
      </c>
    </row>
    <row r="22" spans="1:39" s="280" customFormat="1" ht="12.2" customHeight="1">
      <c r="A22" s="591" t="s">
        <v>609</v>
      </c>
      <c r="B22" s="253">
        <v>0.14000000000000001</v>
      </c>
      <c r="C22" s="606">
        <v>0.04</v>
      </c>
      <c r="D22" s="606">
        <v>0</v>
      </c>
      <c r="E22" s="606">
        <v>0.22</v>
      </c>
      <c r="F22" s="606">
        <v>0.05</v>
      </c>
      <c r="G22" s="606">
        <v>0</v>
      </c>
      <c r="H22" s="606">
        <v>0.25</v>
      </c>
      <c r="I22" s="606">
        <v>7.0000000000000007E-2</v>
      </c>
      <c r="J22" s="606">
        <v>0</v>
      </c>
      <c r="K22" s="606">
        <v>0.25</v>
      </c>
      <c r="L22" s="606">
        <v>0.14000000000000001</v>
      </c>
      <c r="M22" s="606">
        <v>0</v>
      </c>
      <c r="N22" s="591" t="s">
        <v>609</v>
      </c>
      <c r="O22" s="606">
        <v>0.28000000000000003</v>
      </c>
      <c r="P22" s="606">
        <v>0.12</v>
      </c>
      <c r="Q22" s="606">
        <v>0.18</v>
      </c>
      <c r="R22" s="606">
        <v>0.44</v>
      </c>
      <c r="S22" s="606">
        <v>0.23</v>
      </c>
      <c r="T22" s="606">
        <v>0.18</v>
      </c>
      <c r="U22" s="606">
        <v>0.47</v>
      </c>
      <c r="V22" s="606">
        <v>0.33</v>
      </c>
      <c r="W22" s="606">
        <v>0.24</v>
      </c>
      <c r="X22" s="606">
        <v>0.68</v>
      </c>
      <c r="Y22" s="606">
        <v>1.4</v>
      </c>
      <c r="Z22" s="606">
        <v>0.31</v>
      </c>
      <c r="AA22" s="591" t="s">
        <v>609</v>
      </c>
      <c r="AB22" s="606">
        <v>0.56999999999999995</v>
      </c>
      <c r="AC22" s="606">
        <v>0.49</v>
      </c>
      <c r="AD22" s="606">
        <v>0.56999999999999995</v>
      </c>
      <c r="AE22" s="606">
        <v>0.78</v>
      </c>
      <c r="AF22" s="606">
        <v>0.57999999999999996</v>
      </c>
      <c r="AG22" s="606">
        <v>0.5</v>
      </c>
      <c r="AH22" s="606">
        <v>0.53</v>
      </c>
      <c r="AI22" s="606">
        <v>0.57999999999999996</v>
      </c>
      <c r="AJ22" s="606">
        <v>0.75</v>
      </c>
      <c r="AK22" s="606">
        <v>0.6</v>
      </c>
      <c r="AL22" s="606">
        <v>0.66</v>
      </c>
      <c r="AM22" s="606">
        <v>1</v>
      </c>
    </row>
    <row r="23" spans="1:39" s="280" customFormat="1" ht="12.2" customHeight="1">
      <c r="A23" s="633" t="s">
        <v>602</v>
      </c>
      <c r="B23" s="318">
        <v>0.15</v>
      </c>
      <c r="C23" s="487">
        <v>0.04</v>
      </c>
      <c r="D23" s="487">
        <v>0</v>
      </c>
      <c r="E23" s="487">
        <v>0.23</v>
      </c>
      <c r="F23" s="487">
        <v>0.05</v>
      </c>
      <c r="G23" s="487">
        <v>0</v>
      </c>
      <c r="H23" s="487">
        <v>0.17</v>
      </c>
      <c r="I23" s="487">
        <v>0.06</v>
      </c>
      <c r="J23" s="487">
        <v>0</v>
      </c>
      <c r="K23" s="487">
        <v>0.21</v>
      </c>
      <c r="L23" s="487">
        <v>0.13</v>
      </c>
      <c r="M23" s="487">
        <v>0</v>
      </c>
      <c r="N23" s="633" t="s">
        <v>602</v>
      </c>
      <c r="O23" s="487">
        <v>0.24</v>
      </c>
      <c r="P23" s="487">
        <v>0.09</v>
      </c>
      <c r="Q23" s="487">
        <v>0.04</v>
      </c>
      <c r="R23" s="487">
        <v>0.41</v>
      </c>
      <c r="S23" s="487">
        <v>0.21</v>
      </c>
      <c r="T23" s="487">
        <v>0.12</v>
      </c>
      <c r="U23" s="487">
        <v>0.46</v>
      </c>
      <c r="V23" s="487">
        <v>0.28000000000000003</v>
      </c>
      <c r="W23" s="487">
        <v>0.2</v>
      </c>
      <c r="X23" s="487">
        <v>0.68</v>
      </c>
      <c r="Y23" s="487">
        <v>0.37</v>
      </c>
      <c r="Z23" s="487">
        <v>0.28999999999999998</v>
      </c>
      <c r="AA23" s="633" t="s">
        <v>602</v>
      </c>
      <c r="AB23" s="487">
        <v>0.51</v>
      </c>
      <c r="AC23" s="487">
        <v>0.49</v>
      </c>
      <c r="AD23" s="487">
        <v>0.56999999999999995</v>
      </c>
      <c r="AE23" s="487">
        <v>0.82</v>
      </c>
      <c r="AF23" s="487">
        <v>0.37</v>
      </c>
      <c r="AG23" s="487">
        <v>0.5</v>
      </c>
      <c r="AH23" s="487">
        <v>0.5</v>
      </c>
      <c r="AI23" s="487">
        <v>0.85</v>
      </c>
      <c r="AJ23" s="487">
        <v>0.75</v>
      </c>
      <c r="AK23" s="487">
        <v>0.59</v>
      </c>
      <c r="AL23" s="487">
        <v>0.66</v>
      </c>
      <c r="AM23" s="487">
        <v>1</v>
      </c>
    </row>
    <row r="24" spans="1:39" s="280" customFormat="1" ht="12.2" customHeight="1">
      <c r="A24" s="591" t="s">
        <v>610</v>
      </c>
      <c r="B24" s="253">
        <v>0.14000000000000001</v>
      </c>
      <c r="C24" s="606">
        <v>0.02</v>
      </c>
      <c r="D24" s="606">
        <v>0</v>
      </c>
      <c r="E24" s="606">
        <v>0.23</v>
      </c>
      <c r="F24" s="606">
        <v>0.03</v>
      </c>
      <c r="G24" s="606">
        <v>0</v>
      </c>
      <c r="H24" s="606">
        <v>0.17</v>
      </c>
      <c r="I24" s="606">
        <v>0.03</v>
      </c>
      <c r="J24" s="606">
        <v>0</v>
      </c>
      <c r="K24" s="606">
        <v>0.21</v>
      </c>
      <c r="L24" s="606">
        <v>0.09</v>
      </c>
      <c r="M24" s="606">
        <v>0</v>
      </c>
      <c r="N24" s="591" t="s">
        <v>610</v>
      </c>
      <c r="O24" s="606">
        <v>0.21</v>
      </c>
      <c r="P24" s="606">
        <v>0.09</v>
      </c>
      <c r="Q24" s="606">
        <v>0.04</v>
      </c>
      <c r="R24" s="606">
        <v>0.39</v>
      </c>
      <c r="S24" s="606">
        <v>0.22</v>
      </c>
      <c r="T24" s="606">
        <v>0.12</v>
      </c>
      <c r="U24" s="606">
        <v>0.38</v>
      </c>
      <c r="V24" s="606">
        <v>0.28000000000000003</v>
      </c>
      <c r="W24" s="606">
        <v>0.2</v>
      </c>
      <c r="X24" s="606">
        <v>0.65</v>
      </c>
      <c r="Y24" s="606">
        <v>0.36</v>
      </c>
      <c r="Z24" s="606">
        <v>0.28999999999999998</v>
      </c>
      <c r="AA24" s="591" t="s">
        <v>610</v>
      </c>
      <c r="AB24" s="606">
        <v>0.56000000000000005</v>
      </c>
      <c r="AC24" s="606">
        <v>0.26</v>
      </c>
      <c r="AD24" s="606">
        <v>0.56999999999999995</v>
      </c>
      <c r="AE24" s="606">
        <v>0.6</v>
      </c>
      <c r="AF24" s="606">
        <v>0.37</v>
      </c>
      <c r="AG24" s="606">
        <v>0.5</v>
      </c>
      <c r="AH24" s="606">
        <v>0.49</v>
      </c>
      <c r="AI24" s="606">
        <v>0.85</v>
      </c>
      <c r="AJ24" s="606">
        <v>0.75</v>
      </c>
      <c r="AK24" s="606">
        <v>0.6</v>
      </c>
      <c r="AL24" s="606">
        <v>0.66</v>
      </c>
      <c r="AM24" s="606">
        <v>1</v>
      </c>
    </row>
    <row r="25" spans="1:39" s="280" customFormat="1" ht="12.2" customHeight="1">
      <c r="A25" s="633" t="s">
        <v>611</v>
      </c>
      <c r="B25" s="318">
        <v>0.12</v>
      </c>
      <c r="C25" s="487">
        <v>0.03</v>
      </c>
      <c r="D25" s="487">
        <v>0</v>
      </c>
      <c r="E25" s="487">
        <v>0.21</v>
      </c>
      <c r="F25" s="487">
        <v>0.04</v>
      </c>
      <c r="G25" s="487">
        <v>0</v>
      </c>
      <c r="H25" s="487">
        <v>0.15</v>
      </c>
      <c r="I25" s="487">
        <v>0.05</v>
      </c>
      <c r="J25" s="487">
        <v>0</v>
      </c>
      <c r="K25" s="487">
        <v>0.18</v>
      </c>
      <c r="L25" s="487">
        <v>0.09</v>
      </c>
      <c r="M25" s="487">
        <v>0</v>
      </c>
      <c r="N25" s="633" t="s">
        <v>611</v>
      </c>
      <c r="O25" s="487">
        <v>0.24</v>
      </c>
      <c r="P25" s="487">
        <v>0.1</v>
      </c>
      <c r="Q25" s="487">
        <v>0.04</v>
      </c>
      <c r="R25" s="487">
        <v>0.42</v>
      </c>
      <c r="S25" s="487">
        <v>0.22</v>
      </c>
      <c r="T25" s="487">
        <v>0.12</v>
      </c>
      <c r="U25" s="487">
        <v>0.43</v>
      </c>
      <c r="V25" s="487">
        <v>0.3</v>
      </c>
      <c r="W25" s="487">
        <v>0.21</v>
      </c>
      <c r="X25" s="487">
        <v>0.74</v>
      </c>
      <c r="Y25" s="487">
        <v>0.39</v>
      </c>
      <c r="Z25" s="487">
        <v>0.3</v>
      </c>
      <c r="AA25" s="633" t="s">
        <v>611</v>
      </c>
      <c r="AB25" s="487">
        <v>0.56999999999999995</v>
      </c>
      <c r="AC25" s="487">
        <v>0.27</v>
      </c>
      <c r="AD25" s="487">
        <v>0.56999999999999995</v>
      </c>
      <c r="AE25" s="487">
        <v>0.71</v>
      </c>
      <c r="AF25" s="487">
        <v>0.37</v>
      </c>
      <c r="AG25" s="487">
        <v>0.5</v>
      </c>
      <c r="AH25" s="487">
        <v>0.62</v>
      </c>
      <c r="AI25" s="487">
        <v>0.85</v>
      </c>
      <c r="AJ25" s="487">
        <v>0.75</v>
      </c>
      <c r="AK25" s="487">
        <v>0.76</v>
      </c>
      <c r="AL25" s="487">
        <v>0.66</v>
      </c>
      <c r="AM25" s="487">
        <v>1</v>
      </c>
    </row>
    <row r="26" spans="1:39" s="280" customFormat="1" ht="12.2" customHeight="1">
      <c r="A26" s="591" t="s">
        <v>603</v>
      </c>
      <c r="B26" s="253">
        <v>0.11</v>
      </c>
      <c r="C26" s="606">
        <v>0.05</v>
      </c>
      <c r="D26" s="606">
        <v>0</v>
      </c>
      <c r="E26" s="606">
        <v>0.19</v>
      </c>
      <c r="F26" s="606">
        <v>0.06</v>
      </c>
      <c r="G26" s="606">
        <v>0</v>
      </c>
      <c r="H26" s="606">
        <v>0.2</v>
      </c>
      <c r="I26" s="606">
        <v>0.08</v>
      </c>
      <c r="J26" s="606">
        <v>0</v>
      </c>
      <c r="K26" s="606">
        <v>0.16</v>
      </c>
      <c r="L26" s="606">
        <v>0.14000000000000001</v>
      </c>
      <c r="M26" s="606">
        <v>0</v>
      </c>
      <c r="N26" s="591" t="s">
        <v>603</v>
      </c>
      <c r="O26" s="606">
        <v>0.26</v>
      </c>
      <c r="P26" s="606">
        <v>0.1</v>
      </c>
      <c r="Q26" s="606">
        <v>0.06</v>
      </c>
      <c r="R26" s="606">
        <v>0.36</v>
      </c>
      <c r="S26" s="606">
        <v>0.26</v>
      </c>
      <c r="T26" s="606">
        <v>0.16</v>
      </c>
      <c r="U26" s="606">
        <v>0.35</v>
      </c>
      <c r="V26" s="606">
        <v>0.34</v>
      </c>
      <c r="W26" s="606">
        <v>0.26</v>
      </c>
      <c r="X26" s="606">
        <v>0.64</v>
      </c>
      <c r="Y26" s="606">
        <v>0.44</v>
      </c>
      <c r="Z26" s="606">
        <v>0.37</v>
      </c>
      <c r="AA26" s="591" t="s">
        <v>603</v>
      </c>
      <c r="AB26" s="606">
        <v>0.42</v>
      </c>
      <c r="AC26" s="606">
        <v>0.28999999999999998</v>
      </c>
      <c r="AD26" s="606">
        <v>0.56999999999999995</v>
      </c>
      <c r="AE26" s="606">
        <v>0.57999999999999996</v>
      </c>
      <c r="AF26" s="606">
        <v>0.39</v>
      </c>
      <c r="AG26" s="606">
        <v>0.5</v>
      </c>
      <c r="AH26" s="606">
        <v>0.56999999999999995</v>
      </c>
      <c r="AI26" s="606">
        <v>0.57999999999999996</v>
      </c>
      <c r="AJ26" s="606">
        <v>0.75</v>
      </c>
      <c r="AK26" s="606">
        <v>0.56000000000000005</v>
      </c>
      <c r="AL26" s="606">
        <v>0.65</v>
      </c>
      <c r="AM26" s="606">
        <v>1</v>
      </c>
    </row>
    <row r="27" spans="1:39" s="280" customFormat="1" ht="12.2" customHeight="1">
      <c r="A27" s="633" t="s">
        <v>612</v>
      </c>
      <c r="B27" s="318">
        <v>0.13</v>
      </c>
      <c r="C27" s="487">
        <v>7.0000000000000007E-2</v>
      </c>
      <c r="D27" s="487">
        <v>0</v>
      </c>
      <c r="E27" s="487">
        <v>0.19</v>
      </c>
      <c r="F27" s="487">
        <v>0.08</v>
      </c>
      <c r="G27" s="487">
        <v>0</v>
      </c>
      <c r="H27" s="487">
        <v>0.21</v>
      </c>
      <c r="I27" s="487">
        <v>0.06</v>
      </c>
      <c r="J27" s="487">
        <v>0</v>
      </c>
      <c r="K27" s="487">
        <v>0.16</v>
      </c>
      <c r="L27" s="487">
        <v>0.16</v>
      </c>
      <c r="M27" s="487">
        <v>0</v>
      </c>
      <c r="N27" s="633" t="s">
        <v>612</v>
      </c>
      <c r="O27" s="487">
        <v>0.22</v>
      </c>
      <c r="P27" s="487">
        <v>0.1</v>
      </c>
      <c r="Q27" s="487">
        <v>0.06</v>
      </c>
      <c r="R27" s="487">
        <v>0.46</v>
      </c>
      <c r="S27" s="487">
        <v>0.26</v>
      </c>
      <c r="T27" s="487">
        <v>0.16</v>
      </c>
      <c r="U27" s="487">
        <v>0.39</v>
      </c>
      <c r="V27" s="487">
        <v>0.34</v>
      </c>
      <c r="W27" s="487">
        <v>0.26</v>
      </c>
      <c r="X27" s="487">
        <v>0.65</v>
      </c>
      <c r="Y27" s="487">
        <v>0.44</v>
      </c>
      <c r="Z27" s="487">
        <v>0.37</v>
      </c>
      <c r="AA27" s="633" t="s">
        <v>612</v>
      </c>
      <c r="AB27" s="487">
        <v>0.43</v>
      </c>
      <c r="AC27" s="487">
        <v>0.27</v>
      </c>
      <c r="AD27" s="487">
        <v>0.56999999999999995</v>
      </c>
      <c r="AE27" s="487">
        <v>0.56999999999999995</v>
      </c>
      <c r="AF27" s="487">
        <v>0.39</v>
      </c>
      <c r="AG27" s="487">
        <v>0.5</v>
      </c>
      <c r="AH27" s="487">
        <v>0.47</v>
      </c>
      <c r="AI27" s="487">
        <v>0.57999999999999996</v>
      </c>
      <c r="AJ27" s="487">
        <v>0.75</v>
      </c>
      <c r="AK27" s="487">
        <v>0.56000000000000005</v>
      </c>
      <c r="AL27" s="487">
        <v>0.66</v>
      </c>
      <c r="AM27" s="487">
        <v>1</v>
      </c>
    </row>
    <row r="28" spans="1:39" s="280" customFormat="1" ht="12.2" customHeight="1">
      <c r="A28" s="591" t="s">
        <v>613</v>
      </c>
      <c r="B28" s="253">
        <v>0.11</v>
      </c>
      <c r="C28" s="606">
        <v>0.06</v>
      </c>
      <c r="D28" s="606">
        <v>0</v>
      </c>
      <c r="E28" s="606">
        <v>0.18</v>
      </c>
      <c r="F28" s="606">
        <v>0.09</v>
      </c>
      <c r="G28" s="606">
        <v>0</v>
      </c>
      <c r="H28" s="606">
        <v>0.2</v>
      </c>
      <c r="I28" s="606">
        <v>0.11</v>
      </c>
      <c r="J28" s="606">
        <v>0</v>
      </c>
      <c r="K28" s="606">
        <v>0.15</v>
      </c>
      <c r="L28" s="606">
        <v>0.16</v>
      </c>
      <c r="M28" s="606">
        <v>0</v>
      </c>
      <c r="N28" s="591" t="s">
        <v>613</v>
      </c>
      <c r="O28" s="606">
        <v>0.21</v>
      </c>
      <c r="P28" s="606">
        <v>0.09</v>
      </c>
      <c r="Q28" s="606">
        <v>0.04</v>
      </c>
      <c r="R28" s="606">
        <v>0.41</v>
      </c>
      <c r="S28" s="606">
        <v>0.22</v>
      </c>
      <c r="T28" s="606">
        <v>0.14000000000000001</v>
      </c>
      <c r="U28" s="606">
        <v>0.35</v>
      </c>
      <c r="V28" s="606">
        <v>0.28999999999999998</v>
      </c>
      <c r="W28" s="606">
        <v>0.22</v>
      </c>
      <c r="X28" s="606">
        <v>0.59</v>
      </c>
      <c r="Y28" s="606">
        <v>0.38</v>
      </c>
      <c r="Z28" s="606">
        <v>0.31</v>
      </c>
      <c r="AA28" s="591" t="s">
        <v>613</v>
      </c>
      <c r="AB28" s="606">
        <v>0.53</v>
      </c>
      <c r="AC28" s="606">
        <v>0.27</v>
      </c>
      <c r="AD28" s="606">
        <v>0.25</v>
      </c>
      <c r="AE28" s="606">
        <v>0.66</v>
      </c>
      <c r="AF28" s="606">
        <v>0.4</v>
      </c>
      <c r="AG28" s="606">
        <v>0.5</v>
      </c>
      <c r="AH28" s="606">
        <v>0.56000000000000005</v>
      </c>
      <c r="AI28" s="606">
        <v>0.85</v>
      </c>
      <c r="AJ28" s="606">
        <v>0.75</v>
      </c>
      <c r="AK28" s="606">
        <v>0.67</v>
      </c>
      <c r="AL28" s="606">
        <v>1</v>
      </c>
      <c r="AM28" s="606">
        <v>1</v>
      </c>
    </row>
    <row r="29" spans="1:39" s="280" customFormat="1" ht="12.2" customHeight="1">
      <c r="A29" s="633" t="s">
        <v>604</v>
      </c>
      <c r="B29" s="318">
        <v>0.1</v>
      </c>
      <c r="C29" s="487">
        <v>0.06</v>
      </c>
      <c r="D29" s="487">
        <v>0</v>
      </c>
      <c r="E29" s="487">
        <v>0.15</v>
      </c>
      <c r="F29" s="487">
        <v>0.08</v>
      </c>
      <c r="G29" s="487">
        <v>0</v>
      </c>
      <c r="H29" s="487">
        <v>0.18</v>
      </c>
      <c r="I29" s="487">
        <v>0.11</v>
      </c>
      <c r="J29" s="487">
        <v>0</v>
      </c>
      <c r="K29" s="487">
        <v>0.17</v>
      </c>
      <c r="L29" s="487">
        <v>0.16</v>
      </c>
      <c r="M29" s="487">
        <v>0</v>
      </c>
      <c r="N29" s="633" t="s">
        <v>604</v>
      </c>
      <c r="O29" s="487">
        <v>0.24</v>
      </c>
      <c r="P29" s="487">
        <v>0.09</v>
      </c>
      <c r="Q29" s="487">
        <v>0.06</v>
      </c>
      <c r="R29" s="487">
        <v>0.47</v>
      </c>
      <c r="S29" s="487">
        <v>0.22</v>
      </c>
      <c r="T29" s="487">
        <v>0.15</v>
      </c>
      <c r="U29" s="487">
        <v>0.45</v>
      </c>
      <c r="V29" s="487">
        <v>0.28999999999999998</v>
      </c>
      <c r="W29" s="487">
        <v>0.25</v>
      </c>
      <c r="X29" s="487">
        <v>0.65</v>
      </c>
      <c r="Y29" s="487">
        <v>0.39</v>
      </c>
      <c r="Z29" s="487">
        <v>0.37</v>
      </c>
      <c r="AA29" s="633" t="s">
        <v>604</v>
      </c>
      <c r="AB29" s="487">
        <v>0.4</v>
      </c>
      <c r="AC29" s="487">
        <v>0.27</v>
      </c>
      <c r="AD29" s="487">
        <v>0.56999999999999995</v>
      </c>
      <c r="AE29" s="487">
        <v>0.56000000000000005</v>
      </c>
      <c r="AF29" s="487">
        <v>0.37</v>
      </c>
      <c r="AG29" s="487">
        <v>0.5</v>
      </c>
      <c r="AH29" s="487">
        <v>0.47</v>
      </c>
      <c r="AI29" s="487">
        <v>0.59</v>
      </c>
      <c r="AJ29" s="487">
        <v>0.75</v>
      </c>
      <c r="AK29" s="487">
        <v>0.56000000000000005</v>
      </c>
      <c r="AL29" s="487">
        <v>0.64</v>
      </c>
      <c r="AM29" s="487">
        <v>1</v>
      </c>
    </row>
    <row r="30" spans="1:39" s="280" customFormat="1" ht="12.2" customHeight="1">
      <c r="A30" s="618" t="s">
        <v>2166</v>
      </c>
      <c r="B30" s="599">
        <f>AVERAGE(B31:B42)</f>
        <v>0.22071041666666669</v>
      </c>
      <c r="C30" s="599">
        <f t="shared" ref="C30:M30" si="3">AVERAGE(C31:C42)</f>
        <v>0.26952083333333332</v>
      </c>
      <c r="D30" s="599">
        <f t="shared" si="3"/>
        <v>0</v>
      </c>
      <c r="E30" s="599">
        <f t="shared" si="3"/>
        <v>0.38450166666666669</v>
      </c>
      <c r="F30" s="599">
        <f t="shared" si="3"/>
        <v>0.39549374999999998</v>
      </c>
      <c r="G30" s="599">
        <f t="shared" si="3"/>
        <v>0</v>
      </c>
      <c r="H30" s="599">
        <f t="shared" si="3"/>
        <v>0.63203125000000004</v>
      </c>
      <c r="I30" s="599">
        <f t="shared" si="3"/>
        <v>0.67972916666666672</v>
      </c>
      <c r="J30" s="599">
        <f t="shared" si="3"/>
        <v>0</v>
      </c>
      <c r="K30" s="599">
        <f t="shared" si="3"/>
        <v>0.89655624999999983</v>
      </c>
      <c r="L30" s="599">
        <f t="shared" si="3"/>
        <v>0.42794375000000001</v>
      </c>
      <c r="M30" s="599">
        <f t="shared" si="3"/>
        <v>0</v>
      </c>
      <c r="N30" s="618" t="s">
        <v>2166</v>
      </c>
      <c r="O30" s="599">
        <f t="shared" ref="O30:Z30" si="4">AVERAGE(O31:O42)</f>
        <v>0.31532734749455343</v>
      </c>
      <c r="P30" s="599">
        <f t="shared" si="4"/>
        <v>0.20017037878787883</v>
      </c>
      <c r="Q30" s="599">
        <f t="shared" si="4"/>
        <v>3.4999999999999996E-2</v>
      </c>
      <c r="R30" s="599">
        <f t="shared" si="4"/>
        <v>0.53182662782364398</v>
      </c>
      <c r="S30" s="599">
        <f t="shared" si="4"/>
        <v>0.31519323717948705</v>
      </c>
      <c r="T30" s="599">
        <f t="shared" si="4"/>
        <v>0.11994444444444451</v>
      </c>
      <c r="U30" s="599">
        <f t="shared" si="4"/>
        <v>0.57585807870370376</v>
      </c>
      <c r="V30" s="599">
        <f t="shared" si="4"/>
        <v>0.43620674464424458</v>
      </c>
      <c r="W30" s="599">
        <f t="shared" si="4"/>
        <v>0.18409722222222216</v>
      </c>
      <c r="X30" s="599">
        <f t="shared" si="4"/>
        <v>0.79956950202815014</v>
      </c>
      <c r="Y30" s="599">
        <f t="shared" si="4"/>
        <v>0.44954711182336188</v>
      </c>
      <c r="Z30" s="599">
        <f t="shared" si="4"/>
        <v>0.255</v>
      </c>
      <c r="AA30" s="618" t="s">
        <v>2166</v>
      </c>
      <c r="AB30" s="599">
        <f t="shared" ref="AB30:AM30" si="5">AVERAGE(AB31:AB42)</f>
        <v>0.42428055555555561</v>
      </c>
      <c r="AC30" s="599">
        <f t="shared" si="5"/>
        <v>0.38284583333333333</v>
      </c>
      <c r="AD30" s="599">
        <f t="shared" si="5"/>
        <v>0.53999999999999992</v>
      </c>
      <c r="AE30" s="599">
        <f t="shared" si="5"/>
        <v>0.53083791666666669</v>
      </c>
      <c r="AF30" s="599">
        <f t="shared" si="5"/>
        <v>0.47707499999999992</v>
      </c>
      <c r="AG30" s="599">
        <f t="shared" si="5"/>
        <v>0.5</v>
      </c>
      <c r="AH30" s="599">
        <f t="shared" si="5"/>
        <v>0.51206458333333338</v>
      </c>
      <c r="AI30" s="599">
        <f t="shared" si="5"/>
        <v>0.64387083333333328</v>
      </c>
      <c r="AJ30" s="599">
        <f t="shared" si="5"/>
        <v>0.75</v>
      </c>
      <c r="AK30" s="599">
        <f t="shared" si="5"/>
        <v>0.57374375000000011</v>
      </c>
      <c r="AL30" s="599">
        <f t="shared" si="5"/>
        <v>0.71373333333333344</v>
      </c>
      <c r="AM30" s="599">
        <f t="shared" si="5"/>
        <v>1</v>
      </c>
    </row>
    <row r="31" spans="1:39" s="280" customFormat="1" ht="12.2" customHeight="1">
      <c r="A31" s="633" t="s">
        <v>606</v>
      </c>
      <c r="B31" s="318">
        <v>0.11</v>
      </c>
      <c r="C31" s="487">
        <v>0.06</v>
      </c>
      <c r="D31" s="487">
        <v>0</v>
      </c>
      <c r="E31" s="487">
        <v>0.13</v>
      </c>
      <c r="F31" s="487">
        <v>0.08</v>
      </c>
      <c r="G31" s="487">
        <v>0</v>
      </c>
      <c r="H31" s="487">
        <v>0.16</v>
      </c>
      <c r="I31" s="487">
        <v>0.11</v>
      </c>
      <c r="J31" s="487">
        <v>0</v>
      </c>
      <c r="K31" s="487">
        <v>0.16</v>
      </c>
      <c r="L31" s="487">
        <v>0.18</v>
      </c>
      <c r="M31" s="487">
        <v>0</v>
      </c>
      <c r="N31" s="633" t="s">
        <v>606</v>
      </c>
      <c r="O31" s="487">
        <v>0.21</v>
      </c>
      <c r="P31" s="487">
        <v>0.09</v>
      </c>
      <c r="Q31" s="487">
        <v>0.04</v>
      </c>
      <c r="R31" s="487">
        <v>0.41</v>
      </c>
      <c r="S31" s="487">
        <v>0.23</v>
      </c>
      <c r="T31" s="487">
        <v>0.14000000000000001</v>
      </c>
      <c r="U31" s="487">
        <v>0.38</v>
      </c>
      <c r="V31" s="487">
        <v>0.28999999999999998</v>
      </c>
      <c r="W31" s="487">
        <v>0.22</v>
      </c>
      <c r="X31" s="487">
        <v>0.56000000000000005</v>
      </c>
      <c r="Y31" s="487">
        <v>0.38</v>
      </c>
      <c r="Z31" s="487">
        <v>0.31</v>
      </c>
      <c r="AA31" s="633" t="s">
        <v>606</v>
      </c>
      <c r="AB31" s="487">
        <v>0.4</v>
      </c>
      <c r="AC31" s="487">
        <v>0.27</v>
      </c>
      <c r="AD31" s="487">
        <v>0.25</v>
      </c>
      <c r="AE31" s="487">
        <v>0.56000000000000005</v>
      </c>
      <c r="AF31" s="487">
        <v>0.37</v>
      </c>
      <c r="AG31" s="487">
        <v>0.5</v>
      </c>
      <c r="AH31" s="487">
        <v>0.47</v>
      </c>
      <c r="AI31" s="487">
        <v>0.57999999999999996</v>
      </c>
      <c r="AJ31" s="487">
        <v>0.75</v>
      </c>
      <c r="AK31" s="487">
        <v>0.56000000000000005</v>
      </c>
      <c r="AL31" s="487">
        <v>1</v>
      </c>
      <c r="AM31" s="487">
        <v>1</v>
      </c>
    </row>
    <row r="32" spans="1:39" s="280" customFormat="1" ht="12.2" customHeight="1">
      <c r="A32" s="591" t="s">
        <v>607</v>
      </c>
      <c r="B32" s="253">
        <v>0.09</v>
      </c>
      <c r="C32" s="606">
        <v>0.05</v>
      </c>
      <c r="D32" s="606">
        <v>0</v>
      </c>
      <c r="E32" s="606">
        <v>0.13</v>
      </c>
      <c r="F32" s="606">
        <v>0.08</v>
      </c>
      <c r="G32" s="606">
        <v>0</v>
      </c>
      <c r="H32" s="606">
        <v>0.16</v>
      </c>
      <c r="I32" s="606">
        <v>0.1</v>
      </c>
      <c r="J32" s="606">
        <v>0</v>
      </c>
      <c r="K32" s="606">
        <v>0.16</v>
      </c>
      <c r="L32" s="606">
        <v>0.19</v>
      </c>
      <c r="M32" s="606">
        <v>0</v>
      </c>
      <c r="N32" s="591" t="s">
        <v>607</v>
      </c>
      <c r="O32" s="606">
        <v>0.16</v>
      </c>
      <c r="P32" s="606">
        <v>7.0000000000000007E-2</v>
      </c>
      <c r="Q32" s="606">
        <v>0.04</v>
      </c>
      <c r="R32" s="606">
        <v>0.34</v>
      </c>
      <c r="S32" s="606">
        <v>0.16</v>
      </c>
      <c r="T32" s="606">
        <v>0.11</v>
      </c>
      <c r="U32" s="606">
        <v>0.32</v>
      </c>
      <c r="V32" s="606">
        <v>0.21</v>
      </c>
      <c r="W32" s="606">
        <v>0.17</v>
      </c>
      <c r="X32" s="606">
        <v>0.5</v>
      </c>
      <c r="Y32" s="606">
        <v>0.3</v>
      </c>
      <c r="Z32" s="606">
        <v>0.23</v>
      </c>
      <c r="AA32" s="591" t="s">
        <v>607</v>
      </c>
      <c r="AB32" s="606">
        <v>0.39</v>
      </c>
      <c r="AC32" s="606">
        <v>0.28000000000000003</v>
      </c>
      <c r="AD32" s="606">
        <v>0.56999999999999995</v>
      </c>
      <c r="AE32" s="606">
        <v>0.56000000000000005</v>
      </c>
      <c r="AF32" s="606">
        <v>0.37</v>
      </c>
      <c r="AG32" s="606">
        <v>0.5</v>
      </c>
      <c r="AH32" s="606">
        <v>0.47</v>
      </c>
      <c r="AI32" s="606">
        <v>0.56000000000000005</v>
      </c>
      <c r="AJ32" s="606">
        <v>0.75</v>
      </c>
      <c r="AK32" s="606">
        <v>0.56000000000000005</v>
      </c>
      <c r="AL32" s="606">
        <v>1</v>
      </c>
      <c r="AM32" s="606">
        <v>1</v>
      </c>
    </row>
    <row r="33" spans="1:39" s="280" customFormat="1" ht="12.2" customHeight="1">
      <c r="A33" s="633" t="s">
        <v>601</v>
      </c>
      <c r="B33" s="318">
        <v>0.09</v>
      </c>
      <c r="C33" s="487">
        <v>0.05</v>
      </c>
      <c r="D33" s="487">
        <v>0</v>
      </c>
      <c r="E33" s="487">
        <v>0.12</v>
      </c>
      <c r="F33" s="487">
        <v>7.0000000000000007E-2</v>
      </c>
      <c r="G33" s="487">
        <v>0</v>
      </c>
      <c r="H33" s="487">
        <v>0.15</v>
      </c>
      <c r="I33" s="487">
        <v>0.1</v>
      </c>
      <c r="J33" s="487">
        <v>0</v>
      </c>
      <c r="K33" s="487">
        <v>0.16</v>
      </c>
      <c r="L33" s="487">
        <v>0.22</v>
      </c>
      <c r="M33" s="487">
        <v>0</v>
      </c>
      <c r="N33" s="633" t="s">
        <v>601</v>
      </c>
      <c r="O33" s="487">
        <v>0.21</v>
      </c>
      <c r="P33" s="487">
        <v>7.0000000000000007E-2</v>
      </c>
      <c r="Q33" s="487">
        <v>0.04</v>
      </c>
      <c r="R33" s="487">
        <v>0.41</v>
      </c>
      <c r="S33" s="487">
        <v>0.22</v>
      </c>
      <c r="T33" s="487">
        <v>0.14000000000000001</v>
      </c>
      <c r="U33" s="487">
        <v>0.39</v>
      </c>
      <c r="V33" s="487">
        <v>0.31</v>
      </c>
      <c r="W33" s="487">
        <v>0.22</v>
      </c>
      <c r="X33" s="487">
        <v>0.57999999999999996</v>
      </c>
      <c r="Y33" s="487">
        <v>0.4</v>
      </c>
      <c r="Z33" s="487">
        <v>0.31</v>
      </c>
      <c r="AA33" s="633" t="s">
        <v>601</v>
      </c>
      <c r="AB33" s="487">
        <v>0.41</v>
      </c>
      <c r="AC33" s="487">
        <v>0.27</v>
      </c>
      <c r="AD33" s="487">
        <v>0.56999999999999995</v>
      </c>
      <c r="AE33" s="487">
        <v>0.37</v>
      </c>
      <c r="AF33" s="487">
        <v>0.37</v>
      </c>
      <c r="AG33" s="487">
        <v>0.5</v>
      </c>
      <c r="AH33" s="487">
        <v>0.47</v>
      </c>
      <c r="AI33" s="487">
        <v>0.56999999999999995</v>
      </c>
      <c r="AJ33" s="487">
        <v>0.75</v>
      </c>
      <c r="AK33" s="487">
        <v>0.55000000000000004</v>
      </c>
      <c r="AL33" s="487">
        <v>0.66</v>
      </c>
      <c r="AM33" s="487">
        <v>1</v>
      </c>
    </row>
    <row r="34" spans="1:39" s="280" customFormat="1" ht="12.2" customHeight="1">
      <c r="A34" s="591" t="s">
        <v>608</v>
      </c>
      <c r="B34" s="253">
        <v>0.08</v>
      </c>
      <c r="C34" s="606">
        <v>0.06</v>
      </c>
      <c r="D34" s="606">
        <v>0</v>
      </c>
      <c r="E34" s="606">
        <v>0.12</v>
      </c>
      <c r="F34" s="606">
        <v>0.1</v>
      </c>
      <c r="G34" s="606">
        <v>0</v>
      </c>
      <c r="H34" s="606">
        <v>0.15</v>
      </c>
      <c r="I34" s="606">
        <v>0.14000000000000001</v>
      </c>
      <c r="J34" s="606">
        <v>0</v>
      </c>
      <c r="K34" s="606">
        <v>0.15</v>
      </c>
      <c r="L34" s="606">
        <v>0.37</v>
      </c>
      <c r="M34" s="606">
        <v>0</v>
      </c>
      <c r="N34" s="591" t="s">
        <v>608</v>
      </c>
      <c r="O34" s="606">
        <v>0.25</v>
      </c>
      <c r="P34" s="606">
        <v>0.09</v>
      </c>
      <c r="Q34" s="606">
        <v>0.01</v>
      </c>
      <c r="R34" s="606">
        <v>0.36</v>
      </c>
      <c r="S34" s="606">
        <v>0.2</v>
      </c>
      <c r="T34" s="606">
        <v>0.11</v>
      </c>
      <c r="U34" s="606">
        <v>0.34</v>
      </c>
      <c r="V34" s="606">
        <v>0.28999999999999998</v>
      </c>
      <c r="W34" s="606">
        <v>0.16</v>
      </c>
      <c r="X34" s="606">
        <v>0.55000000000000004</v>
      </c>
      <c r="Y34" s="606">
        <v>0.45</v>
      </c>
      <c r="Z34" s="606">
        <v>0.21</v>
      </c>
      <c r="AA34" s="591" t="s">
        <v>608</v>
      </c>
      <c r="AB34" s="606">
        <v>0.39</v>
      </c>
      <c r="AC34" s="606">
        <v>0.3</v>
      </c>
      <c r="AD34" s="606">
        <v>0.56999999999999995</v>
      </c>
      <c r="AE34" s="606">
        <v>0.56999999999999995</v>
      </c>
      <c r="AF34" s="606">
        <v>0.36</v>
      </c>
      <c r="AG34" s="606">
        <v>0.5</v>
      </c>
      <c r="AH34" s="606">
        <v>0.55000000000000004</v>
      </c>
      <c r="AI34" s="606">
        <v>0.56999999999999995</v>
      </c>
      <c r="AJ34" s="606">
        <v>0.75</v>
      </c>
      <c r="AK34" s="606">
        <v>0.55000000000000004</v>
      </c>
      <c r="AL34" s="606">
        <v>0.66</v>
      </c>
      <c r="AM34" s="606">
        <v>1</v>
      </c>
    </row>
    <row r="35" spans="1:39" s="280" customFormat="1" ht="12.2" customHeight="1">
      <c r="A35" s="633" t="s">
        <v>609</v>
      </c>
      <c r="B35" s="318">
        <v>8.9550000000000005E-2</v>
      </c>
      <c r="C35" s="487">
        <v>9.6750000000000003E-2</v>
      </c>
      <c r="D35" s="487">
        <v>0</v>
      </c>
      <c r="E35" s="487">
        <v>0.13735</v>
      </c>
      <c r="F35" s="487">
        <v>0.1623</v>
      </c>
      <c r="G35" s="487">
        <v>0</v>
      </c>
      <c r="H35" s="487">
        <v>0.18634999999999999</v>
      </c>
      <c r="I35" s="487">
        <v>0.20599999999999999</v>
      </c>
      <c r="J35" s="487">
        <v>0</v>
      </c>
      <c r="K35" s="487">
        <v>0.236675</v>
      </c>
      <c r="L35" s="487">
        <v>0.54032500000000006</v>
      </c>
      <c r="M35" s="487">
        <v>0</v>
      </c>
      <c r="N35" s="633" t="s">
        <v>609</v>
      </c>
      <c r="O35" s="487">
        <v>0.27996666666666697</v>
      </c>
      <c r="P35" s="487">
        <v>0.15809999999999999</v>
      </c>
      <c r="Q35" s="487">
        <v>0.01</v>
      </c>
      <c r="R35" s="487">
        <v>0.45945000000000003</v>
      </c>
      <c r="S35" s="487">
        <v>0.21914</v>
      </c>
      <c r="T35" s="487">
        <v>0.11749999999999999</v>
      </c>
      <c r="U35" s="487">
        <v>0.44436249999999999</v>
      </c>
      <c r="V35" s="487">
        <v>0.30022727272727301</v>
      </c>
      <c r="W35" s="487">
        <v>0.20624999999999999</v>
      </c>
      <c r="X35" s="487">
        <v>0.65970625000000005</v>
      </c>
      <c r="Y35" s="487">
        <v>0.47023999999999999</v>
      </c>
      <c r="Z35" s="487">
        <v>0.29375000000000001</v>
      </c>
      <c r="AA35" s="633" t="s">
        <v>609</v>
      </c>
      <c r="AB35" s="487">
        <v>0.38500000000000001</v>
      </c>
      <c r="AC35" s="487">
        <v>0.26640000000000003</v>
      </c>
      <c r="AD35" s="487">
        <v>0.56499999999999995</v>
      </c>
      <c r="AE35" s="487">
        <v>0.57069999999999999</v>
      </c>
      <c r="AF35" s="487">
        <v>0.36203333333333299</v>
      </c>
      <c r="AG35" s="487">
        <v>0.5</v>
      </c>
      <c r="AH35" s="487">
        <v>0.46752500000000002</v>
      </c>
      <c r="AI35" s="487">
        <v>0.56999999999999995</v>
      </c>
      <c r="AJ35" s="487">
        <v>0.75</v>
      </c>
      <c r="AK35" s="487">
        <v>0.55259999999999998</v>
      </c>
      <c r="AL35" s="487">
        <v>0.66064999999999996</v>
      </c>
      <c r="AM35" s="487">
        <v>1</v>
      </c>
    </row>
    <row r="36" spans="1:39" s="280" customFormat="1" ht="12.2" customHeight="1">
      <c r="A36" s="591" t="s">
        <v>602</v>
      </c>
      <c r="B36" s="253">
        <v>9.4E-2</v>
      </c>
      <c r="C36" s="606">
        <v>0.1149</v>
      </c>
      <c r="D36" s="606">
        <v>0</v>
      </c>
      <c r="E36" s="606">
        <v>0.17624999999999999</v>
      </c>
      <c r="F36" s="606">
        <v>0.14369999999999999</v>
      </c>
      <c r="G36" s="606">
        <v>0</v>
      </c>
      <c r="H36" s="606">
        <v>0.15682499999999999</v>
      </c>
      <c r="I36" s="606">
        <v>0.239125</v>
      </c>
      <c r="J36" s="606">
        <v>0</v>
      </c>
      <c r="K36" s="606">
        <v>0.343725</v>
      </c>
      <c r="L36" s="606">
        <v>0.58855000000000002</v>
      </c>
      <c r="M36" s="606">
        <v>0</v>
      </c>
      <c r="N36" s="591" t="s">
        <v>602</v>
      </c>
      <c r="O36" s="606">
        <v>0.26281764705882399</v>
      </c>
      <c r="P36" s="606">
        <v>0.138672727272727</v>
      </c>
      <c r="Q36" s="606">
        <v>0.04</v>
      </c>
      <c r="R36" s="606">
        <v>0.43003157894736799</v>
      </c>
      <c r="S36" s="606">
        <v>0.27565384615384603</v>
      </c>
      <c r="T36" s="606">
        <v>0.13666666666666699</v>
      </c>
      <c r="U36" s="606">
        <v>0.44123157894736798</v>
      </c>
      <c r="V36" s="606">
        <v>0.38174999999999998</v>
      </c>
      <c r="W36" s="606">
        <v>0.22083333333333299</v>
      </c>
      <c r="X36" s="606">
        <v>0.67430000000000001</v>
      </c>
      <c r="Y36" s="606">
        <v>0.588169230769231</v>
      </c>
      <c r="Z36" s="606">
        <v>0.3125</v>
      </c>
      <c r="AA36" s="591" t="s">
        <v>602</v>
      </c>
      <c r="AB36" s="606">
        <v>0.41060000000000002</v>
      </c>
      <c r="AC36" s="606">
        <v>0.29399999999999998</v>
      </c>
      <c r="AD36" s="606">
        <v>0.56499999999999995</v>
      </c>
      <c r="AE36" s="606">
        <v>0.392175</v>
      </c>
      <c r="AF36" s="606">
        <v>0.36803333333333299</v>
      </c>
      <c r="AG36" s="606">
        <v>0.5</v>
      </c>
      <c r="AH36" s="606">
        <v>0.46667500000000001</v>
      </c>
      <c r="AI36" s="606">
        <v>0.85</v>
      </c>
      <c r="AJ36" s="606">
        <v>0.75</v>
      </c>
      <c r="AK36" s="606">
        <v>0.55452500000000005</v>
      </c>
      <c r="AL36" s="606">
        <v>0.66049999999999998</v>
      </c>
      <c r="AM36" s="606">
        <v>1</v>
      </c>
    </row>
    <row r="37" spans="1:39" s="280" customFormat="1" ht="12.2" customHeight="1">
      <c r="A37" s="633" t="s">
        <v>610</v>
      </c>
      <c r="B37" s="318">
        <v>0.10100000000000001</v>
      </c>
      <c r="C37" s="487">
        <v>9.64E-2</v>
      </c>
      <c r="D37" s="487">
        <v>0</v>
      </c>
      <c r="E37" s="487">
        <v>0.21235000000000001</v>
      </c>
      <c r="F37" s="487">
        <v>0.17017499999999999</v>
      </c>
      <c r="G37" s="487">
        <v>0</v>
      </c>
      <c r="H37" s="487">
        <v>0.22900000000000001</v>
      </c>
      <c r="I37" s="487">
        <v>0.490925</v>
      </c>
      <c r="J37" s="487">
        <v>0</v>
      </c>
      <c r="K37" s="487">
        <v>0.49569999999999997</v>
      </c>
      <c r="L37" s="487">
        <v>0.48644999999999999</v>
      </c>
      <c r="M37" s="487">
        <v>0</v>
      </c>
      <c r="N37" s="633" t="s">
        <v>610</v>
      </c>
      <c r="O37" s="487">
        <v>0.23388666666666699</v>
      </c>
      <c r="P37" s="487">
        <v>0.15594</v>
      </c>
      <c r="Q37" s="487">
        <v>0.04</v>
      </c>
      <c r="R37" s="487">
        <v>0.41798823529411799</v>
      </c>
      <c r="S37" s="487">
        <v>0.28556153846153798</v>
      </c>
      <c r="T37" s="487">
        <v>0.114</v>
      </c>
      <c r="U37" s="487">
        <v>0.438838888888889</v>
      </c>
      <c r="V37" s="487">
        <v>0.43823846153846202</v>
      </c>
      <c r="W37" s="487">
        <v>0.16500000000000001</v>
      </c>
      <c r="X37" s="487">
        <v>0.70265555555555503</v>
      </c>
      <c r="Y37" s="487">
        <v>0.38536999999999999</v>
      </c>
      <c r="Z37" s="487">
        <v>0.22500000000000001</v>
      </c>
      <c r="AA37" s="633" t="s">
        <v>610</v>
      </c>
      <c r="AB37" s="487">
        <v>0.39860000000000001</v>
      </c>
      <c r="AC37" s="487">
        <v>0.35875000000000001</v>
      </c>
      <c r="AD37" s="487">
        <v>0.56499999999999995</v>
      </c>
      <c r="AE37" s="487">
        <v>0.607325</v>
      </c>
      <c r="AF37" s="487">
        <v>0.3775</v>
      </c>
      <c r="AG37" s="487">
        <v>0.5</v>
      </c>
      <c r="AH37" s="487">
        <v>0.48035</v>
      </c>
      <c r="AI37" s="487">
        <v>0.85</v>
      </c>
      <c r="AJ37" s="487">
        <v>0.75</v>
      </c>
      <c r="AK37" s="487">
        <v>0.55600000000000005</v>
      </c>
      <c r="AL37" s="487">
        <v>0.6573</v>
      </c>
      <c r="AM37" s="487">
        <v>1</v>
      </c>
    </row>
    <row r="38" spans="1:39" s="280" customFormat="1" ht="12.2" customHeight="1">
      <c r="A38" s="591" t="s">
        <v>611</v>
      </c>
      <c r="B38" s="253">
        <v>0.1115</v>
      </c>
      <c r="C38" s="606">
        <v>0.24276</v>
      </c>
      <c r="D38" s="606">
        <v>0</v>
      </c>
      <c r="E38" s="606">
        <v>0.17782000000000001</v>
      </c>
      <c r="F38" s="606">
        <v>0.46548</v>
      </c>
      <c r="G38" s="606">
        <v>0</v>
      </c>
      <c r="H38" s="606">
        <v>0.46667500000000001</v>
      </c>
      <c r="I38" s="606">
        <v>0.86292500000000005</v>
      </c>
      <c r="J38" s="606">
        <v>0</v>
      </c>
      <c r="K38" s="606">
        <v>0.777725</v>
      </c>
      <c r="L38" s="606">
        <v>0.82</v>
      </c>
      <c r="M38" s="606">
        <v>0</v>
      </c>
      <c r="N38" s="591" t="s">
        <v>611</v>
      </c>
      <c r="O38" s="606">
        <v>0.232482352941176</v>
      </c>
      <c r="P38" s="606">
        <v>0.17494545454545499</v>
      </c>
      <c r="Q38" s="606">
        <v>0.04</v>
      </c>
      <c r="R38" s="606">
        <v>0.42526315789473701</v>
      </c>
      <c r="S38" s="606">
        <v>0.29676923076923101</v>
      </c>
      <c r="T38" s="606">
        <v>0.114</v>
      </c>
      <c r="U38" s="606">
        <v>0.482368421052632</v>
      </c>
      <c r="V38" s="606">
        <v>0.45330769230769202</v>
      </c>
      <c r="W38" s="606">
        <v>0.16500000000000001</v>
      </c>
      <c r="X38" s="606">
        <v>0.80079999999999996</v>
      </c>
      <c r="Y38" s="606">
        <v>0.45123999999999997</v>
      </c>
      <c r="Z38" s="606">
        <v>0.22500000000000001</v>
      </c>
      <c r="AA38" s="591" t="s">
        <v>611</v>
      </c>
      <c r="AB38" s="606">
        <v>0.37616666666666698</v>
      </c>
      <c r="AC38" s="606">
        <v>0.37</v>
      </c>
      <c r="AD38" s="606">
        <v>0.56499999999999995</v>
      </c>
      <c r="AE38" s="606">
        <v>0.54046000000000005</v>
      </c>
      <c r="AF38" s="606">
        <v>0.58455000000000001</v>
      </c>
      <c r="AG38" s="606">
        <v>0.5</v>
      </c>
      <c r="AH38" s="606">
        <v>0.478875</v>
      </c>
      <c r="AI38" s="606">
        <v>0.85</v>
      </c>
      <c r="AJ38" s="606">
        <v>0.75</v>
      </c>
      <c r="AK38" s="606">
        <v>0.55257500000000004</v>
      </c>
      <c r="AL38" s="606">
        <v>0.65959999999999996</v>
      </c>
      <c r="AM38" s="606">
        <v>1</v>
      </c>
    </row>
    <row r="39" spans="1:39" s="280" customFormat="1" ht="12.2" customHeight="1">
      <c r="A39" s="633" t="s">
        <v>603</v>
      </c>
      <c r="B39" s="318">
        <v>0.1479</v>
      </c>
      <c r="C39" s="487">
        <v>0.37052000000000002</v>
      </c>
      <c r="D39" s="487">
        <v>0</v>
      </c>
      <c r="E39" s="487">
        <v>0.34266000000000002</v>
      </c>
      <c r="F39" s="487">
        <v>0.60440000000000005</v>
      </c>
      <c r="G39" s="487">
        <v>0</v>
      </c>
      <c r="H39" s="487">
        <v>0.71717500000000001</v>
      </c>
      <c r="I39" s="487">
        <v>1.2081500000000001</v>
      </c>
      <c r="J39" s="487">
        <v>0</v>
      </c>
      <c r="K39" s="487">
        <v>1.0635250000000001</v>
      </c>
      <c r="L39" s="487">
        <v>0</v>
      </c>
      <c r="M39" s="487">
        <v>0</v>
      </c>
      <c r="N39" s="633" t="s">
        <v>603</v>
      </c>
      <c r="O39" s="487">
        <v>0.35490555555555597</v>
      </c>
      <c r="P39" s="487">
        <v>0.25483636363636403</v>
      </c>
      <c r="Q39" s="487">
        <v>0.04</v>
      </c>
      <c r="R39" s="487">
        <v>0.64100500000000005</v>
      </c>
      <c r="S39" s="487">
        <v>0.43114999999999998</v>
      </c>
      <c r="T39" s="487">
        <v>0.13666666666666699</v>
      </c>
      <c r="U39" s="487">
        <v>0.71906499999999995</v>
      </c>
      <c r="V39" s="487">
        <v>0.541585714285714</v>
      </c>
      <c r="W39" s="487">
        <v>0.22083333333333299</v>
      </c>
      <c r="X39" s="487">
        <v>1.0511200000000001</v>
      </c>
      <c r="Y39" s="487">
        <v>0.52905999999999997</v>
      </c>
      <c r="Z39" s="487">
        <v>0.3125</v>
      </c>
      <c r="AA39" s="633" t="s">
        <v>603</v>
      </c>
      <c r="AB39" s="487">
        <v>0.41666666666666702</v>
      </c>
      <c r="AC39" s="487">
        <v>0.46500000000000002</v>
      </c>
      <c r="AD39" s="487">
        <v>0.56499999999999995</v>
      </c>
      <c r="AE39" s="487">
        <v>0.54532000000000003</v>
      </c>
      <c r="AF39" s="487">
        <v>0.58455000000000001</v>
      </c>
      <c r="AG39" s="487">
        <v>0.5</v>
      </c>
      <c r="AH39" s="487">
        <v>0.48325000000000001</v>
      </c>
      <c r="AI39" s="487">
        <v>0.58220000000000005</v>
      </c>
      <c r="AJ39" s="487">
        <v>0.75</v>
      </c>
      <c r="AK39" s="487">
        <v>0.60289999999999999</v>
      </c>
      <c r="AL39" s="487">
        <v>0.65685000000000004</v>
      </c>
      <c r="AM39" s="487">
        <v>1</v>
      </c>
    </row>
    <row r="40" spans="1:39" s="280" customFormat="1" ht="12.2" customHeight="1">
      <c r="A40" s="591" t="s">
        <v>612</v>
      </c>
      <c r="B40" s="253">
        <v>0.338675</v>
      </c>
      <c r="C40" s="606">
        <v>0.62139999999999995</v>
      </c>
      <c r="D40" s="606">
        <v>0</v>
      </c>
      <c r="E40" s="606">
        <v>0.82245000000000001</v>
      </c>
      <c r="F40" s="606">
        <v>0.91964999999999997</v>
      </c>
      <c r="G40" s="606">
        <v>0</v>
      </c>
      <c r="H40" s="606">
        <v>1.3022750000000001</v>
      </c>
      <c r="I40" s="606">
        <v>1.35625</v>
      </c>
      <c r="J40" s="606">
        <v>0</v>
      </c>
      <c r="K40" s="606">
        <v>1.9327749999999999</v>
      </c>
      <c r="L40" s="606">
        <v>0</v>
      </c>
      <c r="M40" s="606">
        <v>0</v>
      </c>
      <c r="N40" s="591" t="s">
        <v>612</v>
      </c>
      <c r="O40" s="606">
        <v>0.41422222222222199</v>
      </c>
      <c r="P40" s="606">
        <v>0.33929999999999999</v>
      </c>
      <c r="Q40" s="606">
        <v>0.04</v>
      </c>
      <c r="R40" s="606">
        <v>0.69767894736842095</v>
      </c>
      <c r="S40" s="606">
        <v>0.45570769230769198</v>
      </c>
      <c r="T40" s="606">
        <v>0.114</v>
      </c>
      <c r="U40" s="606">
        <v>0.84509999999999996</v>
      </c>
      <c r="V40" s="606">
        <v>0.62990769230769195</v>
      </c>
      <c r="W40" s="606">
        <v>0.16500000000000001</v>
      </c>
      <c r="X40" s="606">
        <v>1.2595894736842099</v>
      </c>
      <c r="Y40" s="606">
        <v>0.448955555555556</v>
      </c>
      <c r="Z40" s="606">
        <v>0.22500000000000001</v>
      </c>
      <c r="AA40" s="591" t="s">
        <v>612</v>
      </c>
      <c r="AB40" s="606">
        <v>0.46716666666666701</v>
      </c>
      <c r="AC40" s="606">
        <v>0.53</v>
      </c>
      <c r="AD40" s="606">
        <v>0.56499999999999995</v>
      </c>
      <c r="AE40" s="606">
        <v>0.44095000000000001</v>
      </c>
      <c r="AF40" s="606">
        <v>0.63034999999999997</v>
      </c>
      <c r="AG40" s="606">
        <v>0.5</v>
      </c>
      <c r="AH40" s="606">
        <v>0.58404999999999996</v>
      </c>
      <c r="AI40" s="606">
        <v>0.58040000000000003</v>
      </c>
      <c r="AJ40" s="606">
        <v>0.75</v>
      </c>
      <c r="AK40" s="606">
        <v>0.61285000000000001</v>
      </c>
      <c r="AL40" s="606">
        <v>0.65995000000000004</v>
      </c>
      <c r="AM40" s="606">
        <v>1</v>
      </c>
    </row>
    <row r="41" spans="1:39" s="280" customFormat="1" ht="12.2" customHeight="1">
      <c r="A41" s="633" t="s">
        <v>613</v>
      </c>
      <c r="B41" s="318">
        <v>0.57809999999999995</v>
      </c>
      <c r="C41" s="487">
        <v>0.67398000000000002</v>
      </c>
      <c r="D41" s="487">
        <v>0</v>
      </c>
      <c r="E41" s="487">
        <v>1.00688</v>
      </c>
      <c r="F41" s="487">
        <v>0.90908</v>
      </c>
      <c r="G41" s="487">
        <v>0</v>
      </c>
      <c r="H41" s="487">
        <v>1.7983</v>
      </c>
      <c r="I41" s="487">
        <v>1.5696000000000001</v>
      </c>
      <c r="J41" s="487">
        <v>0</v>
      </c>
      <c r="K41" s="487">
        <v>2.4739749999999998</v>
      </c>
      <c r="L41" s="487">
        <v>0</v>
      </c>
      <c r="M41" s="487">
        <v>0</v>
      </c>
      <c r="N41" s="633" t="s">
        <v>613</v>
      </c>
      <c r="O41" s="487">
        <v>0.494764705882353</v>
      </c>
      <c r="P41" s="487">
        <v>0.37535000000000002</v>
      </c>
      <c r="Q41" s="487">
        <v>0.04</v>
      </c>
      <c r="R41" s="487">
        <v>0.78515555555555505</v>
      </c>
      <c r="S41" s="487">
        <v>0.48506153846153799</v>
      </c>
      <c r="T41" s="487">
        <v>0.114</v>
      </c>
      <c r="U41" s="487">
        <v>0.93810555555555597</v>
      </c>
      <c r="V41" s="487">
        <v>0.65963076923076902</v>
      </c>
      <c r="W41" s="487">
        <v>0.16500000000000001</v>
      </c>
      <c r="X41" s="487">
        <v>1.31833333333333</v>
      </c>
      <c r="Y41" s="487">
        <v>0.448955555555556</v>
      </c>
      <c r="Z41" s="487">
        <v>0.22500000000000001</v>
      </c>
      <c r="AA41" s="633" t="s">
        <v>613</v>
      </c>
      <c r="AB41" s="487">
        <v>0.52716666666666701</v>
      </c>
      <c r="AC41" s="487">
        <v>0.56999999999999995</v>
      </c>
      <c r="AD41" s="487">
        <v>0.56499999999999995</v>
      </c>
      <c r="AE41" s="487">
        <v>0.55992500000000001</v>
      </c>
      <c r="AF41" s="487">
        <v>0.74585000000000001</v>
      </c>
      <c r="AG41" s="487">
        <v>0.5</v>
      </c>
      <c r="AH41" s="487">
        <v>0.58457499999999996</v>
      </c>
      <c r="AI41" s="487">
        <v>0.58040000000000003</v>
      </c>
      <c r="AJ41" s="487">
        <v>0.75</v>
      </c>
      <c r="AK41" s="487">
        <v>0.616475</v>
      </c>
      <c r="AL41" s="487">
        <v>0.65995000000000004</v>
      </c>
      <c r="AM41" s="487">
        <v>1</v>
      </c>
    </row>
    <row r="42" spans="1:39" s="280" customFormat="1" ht="12.2" customHeight="1">
      <c r="A42" s="591" t="s">
        <v>604</v>
      </c>
      <c r="B42" s="253">
        <v>0.81779999999999997</v>
      </c>
      <c r="C42" s="606">
        <v>0.79754000000000003</v>
      </c>
      <c r="D42" s="606">
        <v>0</v>
      </c>
      <c r="E42" s="606">
        <v>1.2382599999999999</v>
      </c>
      <c r="F42" s="606">
        <v>1.04114</v>
      </c>
      <c r="G42" s="606">
        <v>0</v>
      </c>
      <c r="H42" s="606">
        <v>2.1077750000000002</v>
      </c>
      <c r="I42" s="606">
        <v>1.7737750000000001</v>
      </c>
      <c r="J42" s="606">
        <v>0</v>
      </c>
      <c r="K42" s="606">
        <v>2.8045749999999998</v>
      </c>
      <c r="L42" s="606">
        <v>1.74</v>
      </c>
      <c r="M42" s="606">
        <v>0</v>
      </c>
      <c r="N42" s="591" t="s">
        <v>604</v>
      </c>
      <c r="O42" s="606">
        <v>0.68088235294117605</v>
      </c>
      <c r="P42" s="606">
        <v>0.4849</v>
      </c>
      <c r="Q42" s="606">
        <v>0.04</v>
      </c>
      <c r="R42" s="606">
        <v>1.00534705882353</v>
      </c>
      <c r="S42" s="606">
        <v>0.52327500000000005</v>
      </c>
      <c r="T42" s="606">
        <v>9.2499999999999999E-2</v>
      </c>
      <c r="U42" s="606">
        <v>1.171225</v>
      </c>
      <c r="V42" s="606">
        <v>0.729833333333333</v>
      </c>
      <c r="W42" s="606">
        <v>0.13125000000000001</v>
      </c>
      <c r="X42" s="606">
        <v>0.93832941176470597</v>
      </c>
      <c r="Y42" s="606">
        <v>0.54257500000000003</v>
      </c>
      <c r="Z42" s="606">
        <v>0.18124999999999999</v>
      </c>
      <c r="AA42" s="591" t="s">
        <v>604</v>
      </c>
      <c r="AB42" s="606">
        <v>0.52</v>
      </c>
      <c r="AC42" s="606">
        <v>0.62</v>
      </c>
      <c r="AD42" s="606">
        <v>0.56499999999999995</v>
      </c>
      <c r="AE42" s="606">
        <v>0.6532</v>
      </c>
      <c r="AF42" s="606">
        <v>0.60203333333333298</v>
      </c>
      <c r="AG42" s="606">
        <v>0.5</v>
      </c>
      <c r="AH42" s="606">
        <v>0.63947500000000002</v>
      </c>
      <c r="AI42" s="606">
        <v>0.58345000000000002</v>
      </c>
      <c r="AJ42" s="606">
        <v>0.75</v>
      </c>
      <c r="AK42" s="606">
        <v>0.61699999999999999</v>
      </c>
      <c r="AL42" s="606">
        <v>0.63</v>
      </c>
      <c r="AM42" s="606">
        <v>1</v>
      </c>
    </row>
    <row r="43" spans="1:39" s="280" customFormat="1" ht="12.2" customHeight="1">
      <c r="A43" s="670" t="s">
        <v>2481</v>
      </c>
      <c r="B43" s="318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670" t="s">
        <v>2481</v>
      </c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670" t="s">
        <v>2481</v>
      </c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</row>
    <row r="44" spans="1:39" s="280" customFormat="1" ht="12.2" customHeight="1">
      <c r="A44" s="591" t="s">
        <v>606</v>
      </c>
      <c r="B44" s="253">
        <v>1.1800999999999999</v>
      </c>
      <c r="C44" s="606">
        <v>0.89303999999999994</v>
      </c>
      <c r="D44" s="606">
        <v>0</v>
      </c>
      <c r="E44" s="606">
        <v>1.6161799999999999</v>
      </c>
      <c r="F44" s="606">
        <v>1.20712</v>
      </c>
      <c r="G44" s="606">
        <v>0</v>
      </c>
      <c r="H44" s="606">
        <v>2.5818750000000001</v>
      </c>
      <c r="I44" s="606">
        <v>2.0512000000000001</v>
      </c>
      <c r="J44" s="606">
        <v>0</v>
      </c>
      <c r="K44" s="606">
        <v>3.2277499999999999</v>
      </c>
      <c r="L44" s="606">
        <v>2.11</v>
      </c>
      <c r="M44" s="606">
        <v>0</v>
      </c>
      <c r="N44" s="591" t="s">
        <v>606</v>
      </c>
      <c r="O44" s="606">
        <v>1.0422</v>
      </c>
      <c r="P44" s="606">
        <v>0.54191818181818197</v>
      </c>
      <c r="Q44" s="606">
        <v>3.1666666666666697E-2</v>
      </c>
      <c r="R44" s="606">
        <v>1.38604117647059</v>
      </c>
      <c r="S44" s="606">
        <v>0.75642500000000001</v>
      </c>
      <c r="T44" s="606">
        <v>0.11650000000000001</v>
      </c>
      <c r="U44" s="606">
        <v>1.5527411764705901</v>
      </c>
      <c r="V44" s="606">
        <v>0.99038333333333295</v>
      </c>
      <c r="W44" s="606">
        <v>0.19500000000000001</v>
      </c>
      <c r="X44" s="606">
        <v>1.87797058823529</v>
      </c>
      <c r="Y44" s="606">
        <v>0.70601250000000004</v>
      </c>
      <c r="Z44" s="606">
        <v>0.28000000000000003</v>
      </c>
      <c r="AA44" s="591" t="s">
        <v>606</v>
      </c>
      <c r="AB44" s="606">
        <v>0.889066666666667</v>
      </c>
      <c r="AC44" s="606">
        <v>0.62339999999999995</v>
      </c>
      <c r="AD44" s="606">
        <v>0.56499999999999995</v>
      </c>
      <c r="AE44" s="606">
        <v>0.6794</v>
      </c>
      <c r="AF44" s="606">
        <v>0.63270000000000004</v>
      </c>
      <c r="AG44" s="606">
        <v>0.5</v>
      </c>
      <c r="AH44" s="606">
        <v>0.69264999999999999</v>
      </c>
      <c r="AI44" s="606">
        <v>0.58494999999999997</v>
      </c>
      <c r="AJ44" s="606">
        <v>0.75</v>
      </c>
      <c r="AK44" s="606">
        <v>0.64780000000000004</v>
      </c>
      <c r="AL44" s="606">
        <v>1</v>
      </c>
      <c r="AM44" s="606">
        <v>1</v>
      </c>
    </row>
    <row r="45" spans="1:39" s="280" customFormat="1" ht="12.2" customHeight="1">
      <c r="A45" s="633" t="s">
        <v>607</v>
      </c>
      <c r="B45" s="318">
        <v>2.2162999999999999</v>
      </c>
      <c r="C45" s="487">
        <v>1.5696000000000001</v>
      </c>
      <c r="D45" s="487">
        <v>0</v>
      </c>
      <c r="E45" s="487">
        <v>2.7491333333333299</v>
      </c>
      <c r="F45" s="487">
        <v>2.01046666666667</v>
      </c>
      <c r="G45" s="487">
        <v>0</v>
      </c>
      <c r="H45" s="487">
        <v>3.2964333333333302</v>
      </c>
      <c r="I45" s="487">
        <v>2.6147</v>
      </c>
      <c r="J45" s="487">
        <v>0</v>
      </c>
      <c r="K45" s="487">
        <v>3.8115000000000001</v>
      </c>
      <c r="L45" s="487">
        <v>2.4</v>
      </c>
      <c r="M45" s="487">
        <v>0</v>
      </c>
      <c r="N45" s="633" t="s">
        <v>607</v>
      </c>
      <c r="O45" s="487">
        <v>1.4382352941176499</v>
      </c>
      <c r="P45" s="487">
        <v>0.91134999999999999</v>
      </c>
      <c r="Q45" s="487">
        <v>0.02</v>
      </c>
      <c r="R45" s="487">
        <v>1.83765</v>
      </c>
      <c r="S45" s="487">
        <v>1.1552384615384601</v>
      </c>
      <c r="T45" s="487">
        <v>8.8333333333333305E-2</v>
      </c>
      <c r="U45" s="487">
        <v>2.2511055555555601</v>
      </c>
      <c r="V45" s="487">
        <v>1.4751769230769201</v>
      </c>
      <c r="W45" s="487">
        <v>0.130833333333333</v>
      </c>
      <c r="X45" s="487">
        <v>2.4270578947368402</v>
      </c>
      <c r="Y45" s="487">
        <v>1.37172727272727</v>
      </c>
      <c r="Z45" s="487">
        <v>0.17249999999999999</v>
      </c>
      <c r="AA45" s="633" t="s">
        <v>607</v>
      </c>
      <c r="AB45" s="487">
        <v>0.52</v>
      </c>
      <c r="AC45" s="487">
        <v>0.65480000000000005</v>
      </c>
      <c r="AD45" s="487">
        <v>0.56499999999999995</v>
      </c>
      <c r="AE45" s="487">
        <v>0.83487999999999996</v>
      </c>
      <c r="AF45" s="487">
        <v>0.77836666666666698</v>
      </c>
      <c r="AG45" s="487">
        <v>0.5</v>
      </c>
      <c r="AH45" s="487">
        <v>0.80047500000000005</v>
      </c>
      <c r="AI45" s="487">
        <v>0.55500000000000005</v>
      </c>
      <c r="AJ45" s="487">
        <v>0.75</v>
      </c>
      <c r="AK45" s="487">
        <v>0.67754999999999999</v>
      </c>
      <c r="AL45" s="487">
        <v>1</v>
      </c>
      <c r="AM45" s="487">
        <v>1</v>
      </c>
    </row>
    <row r="46" spans="1:39" s="280" customFormat="1" ht="12.2" customHeight="1">
      <c r="A46" s="591" t="s">
        <v>601</v>
      </c>
      <c r="B46" s="253">
        <v>1.6681333333333299</v>
      </c>
      <c r="C46" s="606">
        <v>1.3474333333333299</v>
      </c>
      <c r="D46" s="606">
        <v>0</v>
      </c>
      <c r="E46" s="606">
        <v>2.0122</v>
      </c>
      <c r="F46" s="606">
        <v>1.7768999999999999</v>
      </c>
      <c r="G46" s="606">
        <v>0</v>
      </c>
      <c r="H46" s="606">
        <v>3.5878999999999999</v>
      </c>
      <c r="I46" s="606">
        <v>3.3936000000000002</v>
      </c>
      <c r="J46" s="606">
        <v>0</v>
      </c>
      <c r="K46" s="606">
        <v>4.1275000000000004</v>
      </c>
      <c r="L46" s="606">
        <v>0</v>
      </c>
      <c r="M46" s="606">
        <v>0</v>
      </c>
      <c r="N46" s="591" t="s">
        <v>601</v>
      </c>
      <c r="O46" s="606">
        <v>1.6063833333333299</v>
      </c>
      <c r="P46" s="606">
        <v>1.2950999999999999</v>
      </c>
      <c r="Q46" s="606">
        <v>0.01</v>
      </c>
      <c r="R46" s="606">
        <v>1.9527214285714301</v>
      </c>
      <c r="S46" s="606">
        <v>1.3877222222222201</v>
      </c>
      <c r="T46" s="606">
        <v>0.105</v>
      </c>
      <c r="U46" s="606">
        <v>2.3097666666666701</v>
      </c>
      <c r="V46" s="606">
        <v>1.7390666666666701</v>
      </c>
      <c r="W46" s="606">
        <v>0.34720000000000001</v>
      </c>
      <c r="X46" s="606">
        <v>2.7059230769230802</v>
      </c>
      <c r="Y46" s="606">
        <v>1.8437714285714299</v>
      </c>
      <c r="Z46" s="606">
        <v>0.20499999999999999</v>
      </c>
      <c r="AA46" s="591" t="s">
        <v>601</v>
      </c>
      <c r="AB46" s="606">
        <v>0.52854999999999996</v>
      </c>
      <c r="AC46" s="606">
        <v>0.38750000000000001</v>
      </c>
      <c r="AD46" s="606">
        <v>0.56499999999999995</v>
      </c>
      <c r="AE46" s="606">
        <v>1.43333333333333</v>
      </c>
      <c r="AF46" s="606">
        <v>0.53705000000000003</v>
      </c>
      <c r="AG46" s="606">
        <v>0.5</v>
      </c>
      <c r="AH46" s="606">
        <v>1.6571</v>
      </c>
      <c r="AI46" s="606">
        <v>0.56820000000000004</v>
      </c>
      <c r="AJ46" s="606">
        <v>0.75</v>
      </c>
      <c r="AK46" s="606">
        <v>1.82303333333333</v>
      </c>
      <c r="AL46" s="606">
        <v>0.66249999999999998</v>
      </c>
      <c r="AM46" s="606">
        <v>1</v>
      </c>
    </row>
    <row r="47" spans="1:39" s="280" customFormat="1" ht="12.2" customHeight="1">
      <c r="A47" s="633" t="s">
        <v>608</v>
      </c>
      <c r="B47" s="1739">
        <v>3.1544249999999998</v>
      </c>
      <c r="C47" s="1739">
        <v>2.3609</v>
      </c>
      <c r="D47" s="1739">
        <v>0</v>
      </c>
      <c r="E47" s="1739">
        <v>3.7686250000000001</v>
      </c>
      <c r="F47" s="1739">
        <v>3.0812750000000002</v>
      </c>
      <c r="G47" s="1739">
        <v>0</v>
      </c>
      <c r="H47" s="1739">
        <v>4.2827000000000002</v>
      </c>
      <c r="I47" s="1739">
        <v>3.9324750000000002</v>
      </c>
      <c r="J47" s="1739">
        <v>0</v>
      </c>
      <c r="K47" s="1739">
        <v>4.8122499999999997</v>
      </c>
      <c r="L47" s="1739">
        <v>3.61</v>
      </c>
      <c r="M47" s="1739">
        <v>0</v>
      </c>
      <c r="N47" s="633" t="s">
        <v>608</v>
      </c>
      <c r="O47" s="1740">
        <v>1.86513529411765</v>
      </c>
      <c r="P47" s="1740">
        <v>1.27776666666667</v>
      </c>
      <c r="Q47" s="1740">
        <v>0.31133333333333302</v>
      </c>
      <c r="R47" s="1740">
        <v>2.4048941176470602</v>
      </c>
      <c r="S47" s="1740">
        <v>1.5547307692307699</v>
      </c>
      <c r="T47" s="1740">
        <v>0.45100000000000001</v>
      </c>
      <c r="U47" s="1740">
        <v>2.75549444444444</v>
      </c>
      <c r="V47" s="1740">
        <v>1.9285538461538501</v>
      </c>
      <c r="W47" s="1740">
        <v>0.73575000000000002</v>
      </c>
      <c r="X47" s="1740">
        <v>2.9853176470588201</v>
      </c>
      <c r="Y47" s="1740">
        <v>1.9206000000000001</v>
      </c>
      <c r="Z47" s="1740">
        <v>0.79428571428571404</v>
      </c>
      <c r="AA47" s="633" t="s">
        <v>608</v>
      </c>
      <c r="AB47" s="1741">
        <v>1.1800333333333299</v>
      </c>
      <c r="AC47" s="1741">
        <v>0.755</v>
      </c>
      <c r="AD47" s="1741">
        <v>0.56499999999999995</v>
      </c>
      <c r="AE47" s="1741">
        <v>1.4816400000000001</v>
      </c>
      <c r="AF47" s="1741">
        <v>0.82086666666666697</v>
      </c>
      <c r="AG47" s="1741">
        <v>0.5</v>
      </c>
      <c r="AH47" s="1741">
        <v>2.2874333333333299</v>
      </c>
      <c r="AI47" s="1741">
        <v>0.56999999999999995</v>
      </c>
      <c r="AJ47" s="1741">
        <v>0.75</v>
      </c>
      <c r="AK47" s="1741">
        <v>1.627075</v>
      </c>
      <c r="AL47" s="1741">
        <v>0.65934999999999999</v>
      </c>
      <c r="AM47" s="1741">
        <v>1</v>
      </c>
    </row>
    <row r="48" spans="1:39" s="280" customFormat="1" ht="12.2" customHeight="1" thickBot="1">
      <c r="A48" s="1742" t="s">
        <v>609</v>
      </c>
      <c r="B48" s="1743">
        <v>2.9272200000000002</v>
      </c>
      <c r="C48" s="1743">
        <v>2.2197399999999998</v>
      </c>
      <c r="D48" s="1743">
        <v>0</v>
      </c>
      <c r="E48" s="1743">
        <v>3.4677199999999999</v>
      </c>
      <c r="F48" s="1743">
        <v>2.6247600000000002</v>
      </c>
      <c r="G48" s="1743">
        <v>0</v>
      </c>
      <c r="H48" s="1743">
        <v>4.8097000000000003</v>
      </c>
      <c r="I48" s="1743">
        <v>4.0413500000000004</v>
      </c>
      <c r="J48" s="1743">
        <v>0</v>
      </c>
      <c r="K48" s="1743">
        <v>5.2746000000000004</v>
      </c>
      <c r="L48" s="1743">
        <v>4.3</v>
      </c>
      <c r="M48" s="1743">
        <v>0</v>
      </c>
      <c r="N48" s="1742" t="s">
        <v>609</v>
      </c>
      <c r="O48" s="1744">
        <v>2.0389499999999998</v>
      </c>
      <c r="P48" s="1744">
        <v>1.5418499999999999</v>
      </c>
      <c r="Q48" s="1744">
        <v>0.42599999999999999</v>
      </c>
      <c r="R48" s="1744">
        <v>2.7240294117647101</v>
      </c>
      <c r="S48" s="1744">
        <v>1.6566384615384599</v>
      </c>
      <c r="T48" s="1744">
        <v>0.54314285714285704</v>
      </c>
      <c r="U48" s="1744">
        <v>2.9229833333333302</v>
      </c>
      <c r="V48" s="1744">
        <v>2.0389230769230799</v>
      </c>
      <c r="W48" s="1744">
        <v>0.78174999999999994</v>
      </c>
      <c r="X48" s="1744">
        <v>3.0679882352941199</v>
      </c>
      <c r="Y48" s="1744">
        <v>2.1520000000000001</v>
      </c>
      <c r="Z48" s="1744">
        <v>0.84214285714285697</v>
      </c>
      <c r="AA48" s="1742" t="s">
        <v>609</v>
      </c>
      <c r="AB48" s="1745">
        <v>1.18</v>
      </c>
      <c r="AC48" s="1745">
        <v>0.82</v>
      </c>
      <c r="AD48" s="1745">
        <v>0.56499999999999995</v>
      </c>
      <c r="AE48" s="1745">
        <v>2.0303</v>
      </c>
      <c r="AF48" s="1745">
        <v>1.02</v>
      </c>
      <c r="AG48" s="1745">
        <v>0.5</v>
      </c>
      <c r="AH48" s="1745">
        <v>1.7730999999999999</v>
      </c>
      <c r="AI48" s="1745">
        <v>0.56999999999999995</v>
      </c>
      <c r="AJ48" s="1745">
        <v>0.75</v>
      </c>
      <c r="AK48" s="1745">
        <v>1.7448999999999999</v>
      </c>
      <c r="AL48" s="1745">
        <v>0.66069999999999995</v>
      </c>
      <c r="AM48" s="1745">
        <v>1</v>
      </c>
    </row>
    <row r="49" spans="1:39">
      <c r="A49" s="123" t="s">
        <v>411</v>
      </c>
      <c r="B49" s="2145" t="s">
        <v>1368</v>
      </c>
      <c r="C49" s="2145"/>
      <c r="D49" s="2145"/>
      <c r="E49" s="2145"/>
      <c r="F49" s="2145"/>
      <c r="G49" s="1056"/>
      <c r="H49" s="1012"/>
      <c r="I49" s="1012"/>
      <c r="J49" s="1012"/>
      <c r="K49" s="1012"/>
      <c r="L49" s="1012"/>
      <c r="M49" s="1012"/>
      <c r="N49" s="123" t="s">
        <v>411</v>
      </c>
      <c r="O49" s="2145" t="s">
        <v>1368</v>
      </c>
      <c r="P49" s="2145"/>
      <c r="Q49" s="2145"/>
      <c r="R49" s="2145"/>
      <c r="S49" s="2145"/>
      <c r="T49" s="2145"/>
      <c r="AA49" s="123" t="s">
        <v>410</v>
      </c>
      <c r="AB49" s="1885" t="s">
        <v>1368</v>
      </c>
      <c r="AC49" s="1885"/>
      <c r="AD49" s="1885"/>
      <c r="AE49" s="1885"/>
      <c r="AF49" s="1885"/>
      <c r="AG49" s="28"/>
      <c r="AH49" s="28"/>
      <c r="AI49" s="28"/>
      <c r="AJ49" s="28"/>
      <c r="AK49" s="28"/>
      <c r="AL49" s="28"/>
    </row>
    <row r="50" spans="1:39" ht="9.75" customHeight="1">
      <c r="A50" s="46" t="s">
        <v>412</v>
      </c>
      <c r="B50" s="2282"/>
      <c r="C50" s="2282"/>
      <c r="D50" s="2282"/>
      <c r="E50" s="57"/>
      <c r="F50" s="57"/>
      <c r="G50" s="57"/>
      <c r="H50" s="1012"/>
      <c r="I50" s="1012"/>
      <c r="J50" s="1012"/>
      <c r="K50" s="1012"/>
      <c r="L50" s="1012"/>
      <c r="M50" s="1012"/>
      <c r="N50" s="120" t="s">
        <v>235</v>
      </c>
      <c r="O50" s="2283"/>
      <c r="P50" s="2283"/>
      <c r="Q50" s="2283"/>
      <c r="R50" s="865"/>
      <c r="S50" s="865"/>
      <c r="T50" s="124"/>
      <c r="U50" s="122"/>
      <c r="V50" s="122"/>
      <c r="W50" s="122"/>
      <c r="X50" s="122"/>
      <c r="Y50" s="122"/>
      <c r="Z50" s="122"/>
      <c r="AA50" s="17" t="s">
        <v>408</v>
      </c>
      <c r="AB50" s="2284"/>
      <c r="AC50" s="2284"/>
      <c r="AD50" s="2284"/>
      <c r="AE50" s="88"/>
      <c r="AF50" s="88"/>
      <c r="AG50" s="28"/>
      <c r="AH50" s="28"/>
      <c r="AI50" s="28"/>
      <c r="AJ50" s="28"/>
      <c r="AK50" s="28"/>
      <c r="AL50" s="28"/>
    </row>
    <row r="51" spans="1:39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</row>
    <row r="52" spans="1:39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</row>
    <row r="53" spans="1:39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</row>
    <row r="54" spans="1:39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</row>
    <row r="55" spans="1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1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9:F49"/>
    <mergeCell ref="O49:T49"/>
    <mergeCell ref="AB49:AF49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0:D50"/>
    <mergeCell ref="O50:Q50"/>
    <mergeCell ref="AB50:AD50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45" firstPageNumber="75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7"/>
  <sheetViews>
    <sheetView showWhiteSpace="0" topLeftCell="A34" zoomScale="130" zoomScaleNormal="130" workbookViewId="0">
      <selection activeCell="B57" sqref="B5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92" t="s">
        <v>1540</v>
      </c>
      <c r="C1" s="2292"/>
      <c r="D1" s="2292"/>
      <c r="E1" s="2292"/>
      <c r="F1" s="2293" t="s">
        <v>386</v>
      </c>
      <c r="G1" s="2293"/>
    </row>
    <row r="2" spans="1:15" ht="11.25" customHeight="1">
      <c r="A2" s="2294"/>
      <c r="B2" s="2294"/>
      <c r="C2" s="2294"/>
      <c r="D2" s="2294"/>
      <c r="E2" s="2294"/>
      <c r="F2" s="2295" t="s">
        <v>554</v>
      </c>
      <c r="G2" s="2295"/>
    </row>
    <row r="3" spans="1:15" s="42" customFormat="1" ht="15.75" customHeight="1">
      <c r="A3" s="2188" t="s">
        <v>527</v>
      </c>
      <c r="B3" s="2296" t="s">
        <v>556</v>
      </c>
      <c r="C3" s="2297"/>
      <c r="D3" s="2297"/>
      <c r="E3" s="2297" t="s">
        <v>559</v>
      </c>
      <c r="F3" s="2297"/>
      <c r="G3" s="2297"/>
    </row>
    <row r="4" spans="1:15" s="42" customFormat="1" ht="15.75" customHeight="1">
      <c r="A4" s="2188"/>
      <c r="B4" s="1131" t="s">
        <v>557</v>
      </c>
      <c r="C4" s="118" t="s">
        <v>558</v>
      </c>
      <c r="D4" s="1102" t="s">
        <v>526</v>
      </c>
      <c r="E4" s="1106" t="s">
        <v>557</v>
      </c>
      <c r="F4" s="1106" t="s">
        <v>558</v>
      </c>
      <c r="G4" s="1106" t="s">
        <v>526</v>
      </c>
    </row>
    <row r="5" spans="1:15" ht="11.85" customHeight="1">
      <c r="A5" s="267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85" customHeight="1">
      <c r="A6" s="1115">
        <v>2010</v>
      </c>
      <c r="B6" s="350">
        <v>190</v>
      </c>
      <c r="C6" s="350">
        <v>2</v>
      </c>
      <c r="D6" s="350">
        <v>8.0549999999999997</v>
      </c>
      <c r="E6" s="350">
        <v>190</v>
      </c>
      <c r="F6" s="350">
        <v>2</v>
      </c>
      <c r="G6" s="350">
        <v>8.0549999999999997</v>
      </c>
    </row>
    <row r="7" spans="1:15" s="177" customFormat="1" ht="11.85" customHeight="1">
      <c r="A7" s="1114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1.85" customHeight="1">
      <c r="A8" s="1115">
        <v>2012</v>
      </c>
      <c r="B8" s="350">
        <v>22</v>
      </c>
      <c r="C8" s="350">
        <v>3</v>
      </c>
      <c r="D8" s="350">
        <v>12.822499999999998</v>
      </c>
      <c r="E8" s="350">
        <v>22</v>
      </c>
      <c r="F8" s="350">
        <v>3</v>
      </c>
      <c r="G8" s="350">
        <v>12.822499999999998</v>
      </c>
    </row>
    <row r="9" spans="1:15" s="175" customFormat="1" ht="11.85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1.85" customHeight="1">
      <c r="A10" s="340">
        <v>2014</v>
      </c>
      <c r="B10" s="328">
        <v>9.9</v>
      </c>
      <c r="C10" s="328">
        <v>5</v>
      </c>
      <c r="D10" s="328">
        <v>7.1399999999999979</v>
      </c>
      <c r="E10" s="328">
        <v>9.9</v>
      </c>
      <c r="F10" s="328">
        <v>5</v>
      </c>
      <c r="G10" s="328">
        <v>7.1399999999999979</v>
      </c>
    </row>
    <row r="11" spans="1:15" s="175" customFormat="1" ht="11.85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2" customFormat="1" ht="11.85" customHeight="1">
      <c r="A12" s="438">
        <v>2016</v>
      </c>
      <c r="B12" s="328">
        <v>5</v>
      </c>
      <c r="C12" s="328">
        <v>1</v>
      </c>
      <c r="D12" s="328">
        <v>3.6691666666666669</v>
      </c>
      <c r="E12" s="328">
        <v>5</v>
      </c>
      <c r="F12" s="328">
        <v>1</v>
      </c>
      <c r="G12" s="328">
        <v>3.6691666666666669</v>
      </c>
      <c r="H12" s="175"/>
      <c r="I12" s="269"/>
      <c r="J12" s="175"/>
      <c r="K12" s="175"/>
      <c r="L12" s="175"/>
      <c r="M12" s="175"/>
      <c r="N12" s="175"/>
      <c r="O12" s="175"/>
    </row>
    <row r="13" spans="1:15" s="502" customFormat="1" ht="11.85" customHeight="1">
      <c r="A13" s="42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9"/>
      <c r="J13" s="175"/>
      <c r="K13" s="175"/>
      <c r="L13" s="175"/>
      <c r="M13" s="175"/>
      <c r="N13" s="175"/>
      <c r="O13" s="175"/>
    </row>
    <row r="14" spans="1:15" s="175" customFormat="1" ht="11.85" customHeight="1">
      <c r="A14" s="438">
        <v>2018</v>
      </c>
      <c r="B14" s="328">
        <v>5.5</v>
      </c>
      <c r="C14" s="328">
        <v>0.1</v>
      </c>
      <c r="D14" s="328">
        <v>3.6691666666666669</v>
      </c>
      <c r="E14" s="328">
        <v>5.5</v>
      </c>
      <c r="F14" s="328">
        <v>0.1</v>
      </c>
      <c r="G14" s="328">
        <v>3.6691666666666669</v>
      </c>
    </row>
    <row r="15" spans="1:15" s="9" customFormat="1" ht="11.85" customHeight="1">
      <c r="A15" s="984">
        <v>2019</v>
      </c>
      <c r="B15" s="153">
        <v>5.5</v>
      </c>
      <c r="C15" s="153">
        <v>0.75</v>
      </c>
      <c r="D15" s="153">
        <v>4.4274999999999993</v>
      </c>
      <c r="E15" s="153">
        <v>5.5</v>
      </c>
      <c r="F15" s="153">
        <v>0.75</v>
      </c>
      <c r="G15" s="153">
        <v>4.4274999999999993</v>
      </c>
    </row>
    <row r="16" spans="1:15" s="175" customFormat="1" ht="11.85" customHeight="1">
      <c r="A16" s="1119">
        <v>2020</v>
      </c>
      <c r="B16" s="331">
        <f>MAX(B17:B28)</f>
        <v>5.5</v>
      </c>
      <c r="C16" s="331">
        <f>MIN(C17:C28)</f>
        <v>0.3</v>
      </c>
      <c r="D16" s="331">
        <f>AVERAGE(D17:D28)</f>
        <v>4.0091666666666663</v>
      </c>
      <c r="E16" s="331">
        <f>MAX(E17:E28)</f>
        <v>5.5</v>
      </c>
      <c r="F16" s="331">
        <f>MIN(F17:F28)</f>
        <v>0.3</v>
      </c>
      <c r="G16" s="331">
        <f>AVERAGE(G17:G28)</f>
        <v>4.0091666666666663</v>
      </c>
    </row>
    <row r="17" spans="1:7" s="175" customFormat="1" ht="11.85" customHeight="1">
      <c r="A17" s="424" t="s">
        <v>610</v>
      </c>
      <c r="B17" s="281">
        <v>5.5</v>
      </c>
      <c r="C17" s="281">
        <v>2.9</v>
      </c>
      <c r="D17" s="281">
        <v>4.84</v>
      </c>
      <c r="E17" s="281">
        <v>5.5</v>
      </c>
      <c r="F17" s="281">
        <v>2.9</v>
      </c>
      <c r="G17" s="281">
        <v>4.84</v>
      </c>
    </row>
    <row r="18" spans="1:7" s="175" customFormat="1" ht="11.85" customHeight="1">
      <c r="A18" s="438" t="s">
        <v>611</v>
      </c>
      <c r="B18" s="323">
        <v>5.5</v>
      </c>
      <c r="C18" s="323">
        <v>4.25</v>
      </c>
      <c r="D18" s="323">
        <v>5.0599999999999996</v>
      </c>
      <c r="E18" s="323">
        <v>5.5</v>
      </c>
      <c r="F18" s="323">
        <v>4.25</v>
      </c>
      <c r="G18" s="323">
        <v>5.0599999999999996</v>
      </c>
    </row>
    <row r="19" spans="1:7" s="175" customFormat="1" ht="11.85" customHeight="1">
      <c r="A19" s="424" t="s">
        <v>603</v>
      </c>
      <c r="B19" s="281">
        <v>5.5</v>
      </c>
      <c r="C19" s="281">
        <v>4.25</v>
      </c>
      <c r="D19" s="281">
        <v>5.14</v>
      </c>
      <c r="E19" s="281">
        <v>5.5</v>
      </c>
      <c r="F19" s="281">
        <v>4.25</v>
      </c>
      <c r="G19" s="281">
        <v>5.14</v>
      </c>
    </row>
    <row r="20" spans="1:7" s="175" customFormat="1" ht="11.85" customHeight="1">
      <c r="A20" s="438" t="s">
        <v>612</v>
      </c>
      <c r="B20" s="323">
        <v>5</v>
      </c>
      <c r="C20" s="323">
        <v>3</v>
      </c>
      <c r="D20" s="323">
        <v>4.8899999999999997</v>
      </c>
      <c r="E20" s="323">
        <v>5</v>
      </c>
      <c r="F20" s="323">
        <v>3</v>
      </c>
      <c r="G20" s="323">
        <v>4.8899999999999997</v>
      </c>
    </row>
    <row r="21" spans="1:7" s="175" customFormat="1" ht="11.85" customHeight="1">
      <c r="A21" s="424" t="s">
        <v>613</v>
      </c>
      <c r="B21" s="281">
        <v>5.5</v>
      </c>
      <c r="C21" s="281">
        <v>3.5</v>
      </c>
      <c r="D21" s="281">
        <v>4.97</v>
      </c>
      <c r="E21" s="281">
        <v>5.5</v>
      </c>
      <c r="F21" s="281">
        <v>3.5</v>
      </c>
      <c r="G21" s="281">
        <v>4.97</v>
      </c>
    </row>
    <row r="22" spans="1:7" s="175" customFormat="1" ht="11.85" customHeight="1">
      <c r="A22" s="438" t="s">
        <v>604</v>
      </c>
      <c r="B22" s="323">
        <v>5.5</v>
      </c>
      <c r="C22" s="323">
        <v>3.75</v>
      </c>
      <c r="D22" s="323">
        <v>5.01</v>
      </c>
      <c r="E22" s="323">
        <v>5.5</v>
      </c>
      <c r="F22" s="323">
        <v>3.75</v>
      </c>
      <c r="G22" s="323">
        <v>5.01</v>
      </c>
    </row>
    <row r="23" spans="1:7" s="175" customFormat="1" ht="11.85" customHeight="1">
      <c r="A23" s="424" t="s">
        <v>606</v>
      </c>
      <c r="B23" s="281">
        <v>5.5</v>
      </c>
      <c r="C23" s="281">
        <v>1</v>
      </c>
      <c r="D23" s="281">
        <v>4.2300000000000004</v>
      </c>
      <c r="E23" s="281">
        <v>5.5</v>
      </c>
      <c r="F23" s="281">
        <v>1</v>
      </c>
      <c r="G23" s="281">
        <v>4.2300000000000004</v>
      </c>
    </row>
    <row r="24" spans="1:7" s="175" customFormat="1" ht="11.85" customHeight="1">
      <c r="A24" s="438" t="s">
        <v>607</v>
      </c>
      <c r="B24" s="323">
        <v>5.5</v>
      </c>
      <c r="C24" s="323">
        <v>3</v>
      </c>
      <c r="D24" s="323">
        <v>4.7</v>
      </c>
      <c r="E24" s="323">
        <v>5.5</v>
      </c>
      <c r="F24" s="323">
        <v>3</v>
      </c>
      <c r="G24" s="323">
        <v>4.7</v>
      </c>
    </row>
    <row r="25" spans="1:7" s="175" customFormat="1" ht="11.85" customHeight="1">
      <c r="A25" s="424" t="s">
        <v>601</v>
      </c>
      <c r="B25" s="281">
        <v>5.25</v>
      </c>
      <c r="C25" s="281">
        <v>0.3</v>
      </c>
      <c r="D25" s="281">
        <v>2.87</v>
      </c>
      <c r="E25" s="281">
        <v>5.25</v>
      </c>
      <c r="F25" s="281">
        <v>0.3</v>
      </c>
      <c r="G25" s="281">
        <v>2.87</v>
      </c>
    </row>
    <row r="26" spans="1:7" s="175" customFormat="1" ht="11.85" customHeight="1">
      <c r="A26" s="438" t="s">
        <v>608</v>
      </c>
      <c r="B26" s="323">
        <v>5.25</v>
      </c>
      <c r="C26" s="323">
        <v>1</v>
      </c>
      <c r="D26" s="323">
        <v>2.61</v>
      </c>
      <c r="E26" s="323">
        <v>5.25</v>
      </c>
      <c r="F26" s="323">
        <v>1</v>
      </c>
      <c r="G26" s="323">
        <v>2.61</v>
      </c>
    </row>
    <row r="27" spans="1:7" s="175" customFormat="1" ht="11.85" customHeight="1">
      <c r="A27" s="424" t="s">
        <v>609</v>
      </c>
      <c r="B27" s="281">
        <v>5.25</v>
      </c>
      <c r="C27" s="281">
        <v>1</v>
      </c>
      <c r="D27" s="281">
        <v>2</v>
      </c>
      <c r="E27" s="281">
        <v>5.25</v>
      </c>
      <c r="F27" s="281">
        <v>1</v>
      </c>
      <c r="G27" s="281">
        <v>2</v>
      </c>
    </row>
    <row r="28" spans="1:7" s="175" customFormat="1" ht="11.85" customHeight="1">
      <c r="A28" s="438" t="s">
        <v>602</v>
      </c>
      <c r="B28" s="323">
        <v>5.25</v>
      </c>
      <c r="C28" s="323">
        <v>1</v>
      </c>
      <c r="D28" s="323">
        <v>1.79</v>
      </c>
      <c r="E28" s="323">
        <v>5.25</v>
      </c>
      <c r="F28" s="323">
        <v>1</v>
      </c>
      <c r="G28" s="323">
        <v>1.79</v>
      </c>
    </row>
    <row r="29" spans="1:7" s="175" customFormat="1" ht="11.85" customHeight="1">
      <c r="A29" s="984">
        <v>2021</v>
      </c>
      <c r="B29" s="153">
        <f>MAX(B30:B41)</f>
        <v>5.25</v>
      </c>
      <c r="C29" s="153">
        <f>MIN(C30:C41)</f>
        <v>1</v>
      </c>
      <c r="D29" s="153">
        <f>AVERAGE(D30:D41)</f>
        <v>2.1041666666666665</v>
      </c>
      <c r="E29" s="153">
        <f>MAX(E30:E41)</f>
        <v>5.25</v>
      </c>
      <c r="F29" s="153">
        <f>MIN(F30:F41)</f>
        <v>1</v>
      </c>
      <c r="G29" s="153">
        <f>AVERAGE(G30:G41)</f>
        <v>2.1041666666666665</v>
      </c>
    </row>
    <row r="30" spans="1:7" s="175" customFormat="1" ht="11.85" customHeight="1">
      <c r="A30" s="438" t="s">
        <v>610</v>
      </c>
      <c r="B30" s="323">
        <v>5.25</v>
      </c>
      <c r="C30" s="323">
        <v>1</v>
      </c>
      <c r="D30" s="323">
        <v>1.78</v>
      </c>
      <c r="E30" s="323">
        <v>5.25</v>
      </c>
      <c r="F30" s="323">
        <v>1</v>
      </c>
      <c r="G30" s="323">
        <v>1.78</v>
      </c>
    </row>
    <row r="31" spans="1:7" s="175" customFormat="1" ht="11.85" customHeight="1">
      <c r="A31" s="424" t="s">
        <v>611</v>
      </c>
      <c r="B31" s="281">
        <v>5.25</v>
      </c>
      <c r="C31" s="281">
        <v>1</v>
      </c>
      <c r="D31" s="281">
        <v>1.67</v>
      </c>
      <c r="E31" s="281">
        <v>5.25</v>
      </c>
      <c r="F31" s="281">
        <v>1</v>
      </c>
      <c r="G31" s="281">
        <v>1.67</v>
      </c>
    </row>
    <row r="32" spans="1:7" s="175" customFormat="1" ht="11.85" customHeight="1">
      <c r="A32" s="438" t="s">
        <v>603</v>
      </c>
      <c r="B32" s="323">
        <v>5.25</v>
      </c>
      <c r="C32" s="323">
        <v>1</v>
      </c>
      <c r="D32" s="323">
        <v>1.82</v>
      </c>
      <c r="E32" s="323">
        <v>5.25</v>
      </c>
      <c r="F32" s="323">
        <v>1</v>
      </c>
      <c r="G32" s="323">
        <v>1.82</v>
      </c>
    </row>
    <row r="33" spans="1:7" s="175" customFormat="1" ht="11.85" customHeight="1">
      <c r="A33" s="424" t="s">
        <v>612</v>
      </c>
      <c r="B33" s="281">
        <v>5.25</v>
      </c>
      <c r="C33" s="281">
        <v>1</v>
      </c>
      <c r="D33" s="281">
        <v>1.68</v>
      </c>
      <c r="E33" s="281">
        <v>5.25</v>
      </c>
      <c r="F33" s="281">
        <v>1</v>
      </c>
      <c r="G33" s="281">
        <v>1.68</v>
      </c>
    </row>
    <row r="34" spans="1:7" s="175" customFormat="1" ht="11.85" customHeight="1">
      <c r="A34" s="438" t="s">
        <v>613</v>
      </c>
      <c r="B34" s="323">
        <v>5.25</v>
      </c>
      <c r="C34" s="323">
        <v>1</v>
      </c>
      <c r="D34" s="323">
        <v>2.08</v>
      </c>
      <c r="E34" s="323">
        <v>5.25</v>
      </c>
      <c r="F34" s="323">
        <v>1</v>
      </c>
      <c r="G34" s="323">
        <v>2.08</v>
      </c>
    </row>
    <row r="35" spans="1:7" s="175" customFormat="1" ht="11.85" customHeight="1">
      <c r="A35" s="424" t="s">
        <v>604</v>
      </c>
      <c r="B35" s="281">
        <v>5.25</v>
      </c>
      <c r="C35" s="281">
        <v>1</v>
      </c>
      <c r="D35" s="281">
        <v>2.25</v>
      </c>
      <c r="E35" s="281">
        <v>5.25</v>
      </c>
      <c r="F35" s="281">
        <v>1</v>
      </c>
      <c r="G35" s="281">
        <v>2.25</v>
      </c>
    </row>
    <row r="36" spans="1:7" s="175" customFormat="1" ht="11.85" customHeight="1">
      <c r="A36" s="438" t="s">
        <v>606</v>
      </c>
      <c r="B36" s="323">
        <v>5.25</v>
      </c>
      <c r="C36" s="323">
        <v>1</v>
      </c>
      <c r="D36" s="323">
        <v>2.2200000000000002</v>
      </c>
      <c r="E36" s="323">
        <v>5.25</v>
      </c>
      <c r="F36" s="323">
        <v>1</v>
      </c>
      <c r="G36" s="323">
        <v>2.2200000000000002</v>
      </c>
    </row>
    <row r="37" spans="1:7" s="175" customFormat="1" ht="11.85" customHeight="1">
      <c r="A37" s="424" t="s">
        <v>607</v>
      </c>
      <c r="B37" s="281">
        <v>5.25</v>
      </c>
      <c r="C37" s="281">
        <v>1</v>
      </c>
      <c r="D37" s="281">
        <v>1.79</v>
      </c>
      <c r="E37" s="281">
        <v>5.25</v>
      </c>
      <c r="F37" s="281">
        <v>1</v>
      </c>
      <c r="G37" s="281">
        <v>1.79</v>
      </c>
    </row>
    <row r="38" spans="1:7" s="175" customFormat="1" ht="11.85" customHeight="1">
      <c r="A38" s="438" t="s">
        <v>601</v>
      </c>
      <c r="B38" s="323">
        <v>5.25</v>
      </c>
      <c r="C38" s="323">
        <v>1</v>
      </c>
      <c r="D38" s="323">
        <v>1.9</v>
      </c>
      <c r="E38" s="323">
        <v>5.25</v>
      </c>
      <c r="F38" s="323">
        <v>1</v>
      </c>
      <c r="G38" s="323">
        <v>1.9</v>
      </c>
    </row>
    <row r="39" spans="1:7" s="175" customFormat="1" ht="11.85" customHeight="1">
      <c r="A39" s="424" t="s">
        <v>608</v>
      </c>
      <c r="B39" s="281">
        <v>5.25</v>
      </c>
      <c r="C39" s="281">
        <v>1</v>
      </c>
      <c r="D39" s="281">
        <v>2.25</v>
      </c>
      <c r="E39" s="281">
        <v>5.25</v>
      </c>
      <c r="F39" s="281">
        <v>1</v>
      </c>
      <c r="G39" s="281">
        <v>2.25</v>
      </c>
    </row>
    <row r="40" spans="1:7" s="175" customFormat="1" ht="11.85" customHeight="1">
      <c r="A40" s="438" t="s">
        <v>609</v>
      </c>
      <c r="B40" s="323">
        <v>5.25</v>
      </c>
      <c r="C40" s="323">
        <v>1</v>
      </c>
      <c r="D40" s="323">
        <v>3.15</v>
      </c>
      <c r="E40" s="323">
        <v>5.25</v>
      </c>
      <c r="F40" s="323">
        <v>1</v>
      </c>
      <c r="G40" s="323">
        <v>3.15</v>
      </c>
    </row>
    <row r="41" spans="1:7" s="175" customFormat="1" ht="11.85" customHeight="1">
      <c r="A41" s="424" t="s">
        <v>602</v>
      </c>
      <c r="B41" s="281">
        <v>5.25</v>
      </c>
      <c r="C41" s="281">
        <v>1</v>
      </c>
      <c r="D41" s="281">
        <v>2.66</v>
      </c>
      <c r="E41" s="281">
        <v>5.25</v>
      </c>
      <c r="F41" s="281">
        <v>1</v>
      </c>
      <c r="G41" s="281">
        <v>2.66</v>
      </c>
    </row>
    <row r="42" spans="1:7" s="175" customFormat="1" ht="11.85" customHeight="1">
      <c r="A42" s="1369">
        <v>2022</v>
      </c>
      <c r="B42" s="323"/>
      <c r="C42" s="323"/>
      <c r="D42" s="323"/>
      <c r="E42" s="323"/>
      <c r="F42" s="323"/>
      <c r="G42" s="323"/>
    </row>
    <row r="43" spans="1:7" s="175" customFormat="1" ht="11.85" customHeight="1">
      <c r="A43" s="424" t="s">
        <v>610</v>
      </c>
      <c r="B43" s="281">
        <v>5.25</v>
      </c>
      <c r="C43" s="281">
        <v>1</v>
      </c>
      <c r="D43" s="281">
        <v>2.4300000000000002</v>
      </c>
      <c r="E43" s="281">
        <v>5.25</v>
      </c>
      <c r="F43" s="281">
        <v>1</v>
      </c>
      <c r="G43" s="281">
        <v>2.4300000000000002</v>
      </c>
    </row>
    <row r="44" spans="1:7" s="175" customFormat="1" ht="11.85" customHeight="1">
      <c r="A44" s="438" t="s">
        <v>611</v>
      </c>
      <c r="B44" s="323">
        <v>5.25</v>
      </c>
      <c r="C44" s="323">
        <v>1</v>
      </c>
      <c r="D44" s="323">
        <v>2.8</v>
      </c>
      <c r="E44" s="323">
        <v>5.25</v>
      </c>
      <c r="F44" s="323">
        <v>1</v>
      </c>
      <c r="G44" s="323">
        <v>2.8</v>
      </c>
    </row>
    <row r="45" spans="1:7" s="175" customFormat="1" ht="11.85" customHeight="1">
      <c r="A45" s="424" t="s">
        <v>603</v>
      </c>
      <c r="B45" s="281">
        <v>5.25</v>
      </c>
      <c r="C45" s="281">
        <v>1</v>
      </c>
      <c r="D45" s="281">
        <v>2.66</v>
      </c>
      <c r="E45" s="281">
        <v>5.25</v>
      </c>
      <c r="F45" s="281">
        <v>1</v>
      </c>
      <c r="G45" s="281">
        <v>2.66</v>
      </c>
    </row>
    <row r="46" spans="1:7" s="175" customFormat="1" ht="11.85" customHeight="1">
      <c r="A46" s="438" t="s">
        <v>612</v>
      </c>
      <c r="B46" s="323">
        <v>5.25</v>
      </c>
      <c r="C46" s="323">
        <v>1</v>
      </c>
      <c r="D46" s="323">
        <v>4.58</v>
      </c>
      <c r="E46" s="323">
        <v>5.25</v>
      </c>
      <c r="F46" s="323">
        <v>1</v>
      </c>
      <c r="G46" s="323">
        <v>4.58</v>
      </c>
    </row>
    <row r="47" spans="1:7" s="175" customFormat="1" ht="11.85" customHeight="1">
      <c r="A47" s="424" t="s">
        <v>613</v>
      </c>
      <c r="B47" s="281">
        <v>5.5</v>
      </c>
      <c r="C47" s="281">
        <v>2.75</v>
      </c>
      <c r="D47" s="281">
        <v>4.7300000000000004</v>
      </c>
      <c r="E47" s="281">
        <v>5.5</v>
      </c>
      <c r="F47" s="281">
        <v>2.75</v>
      </c>
      <c r="G47" s="281">
        <v>4.7300000000000004</v>
      </c>
    </row>
    <row r="48" spans="1:7" s="175" customFormat="1" ht="11.85" customHeight="1">
      <c r="A48" s="438" t="s">
        <v>604</v>
      </c>
      <c r="B48" s="323">
        <v>5.5</v>
      </c>
      <c r="C48" s="323">
        <v>3</v>
      </c>
      <c r="D48" s="323">
        <v>4.88</v>
      </c>
      <c r="E48" s="323">
        <v>5.5</v>
      </c>
      <c r="F48" s="323">
        <v>3</v>
      </c>
      <c r="G48" s="323">
        <v>4.88</v>
      </c>
    </row>
    <row r="49" spans="1:7" s="175" customFormat="1" ht="11.85" customHeight="1">
      <c r="A49" s="424" t="s">
        <v>606</v>
      </c>
      <c r="B49" s="281">
        <v>6.5</v>
      </c>
      <c r="C49" s="281">
        <v>3.25</v>
      </c>
      <c r="D49" s="281">
        <v>5.34</v>
      </c>
      <c r="E49" s="281">
        <v>6.5</v>
      </c>
      <c r="F49" s="281">
        <v>3.25</v>
      </c>
      <c r="G49" s="281">
        <v>5.34</v>
      </c>
    </row>
    <row r="50" spans="1:7" s="175" customFormat="1" ht="11.85" customHeight="1">
      <c r="A50" s="438" t="s">
        <v>607</v>
      </c>
      <c r="B50" s="323">
        <v>6</v>
      </c>
      <c r="C50" s="323">
        <v>3.5</v>
      </c>
      <c r="D50" s="323">
        <v>5.49</v>
      </c>
      <c r="E50" s="323">
        <v>6</v>
      </c>
      <c r="F50" s="323">
        <v>3.5</v>
      </c>
      <c r="G50" s="323">
        <v>5.49</v>
      </c>
    </row>
    <row r="51" spans="1:7" s="175" customFormat="1" ht="11.85" customHeight="1">
      <c r="A51" s="424" t="s">
        <v>601</v>
      </c>
      <c r="B51" s="281">
        <v>6</v>
      </c>
      <c r="C51" s="281">
        <v>4.5</v>
      </c>
      <c r="D51" s="281">
        <v>5.53</v>
      </c>
      <c r="E51" s="281">
        <v>6</v>
      </c>
      <c r="F51" s="281">
        <v>4.5</v>
      </c>
      <c r="G51" s="281">
        <v>5.53</v>
      </c>
    </row>
    <row r="52" spans="1:7" s="175" customFormat="1" ht="11.85" customHeight="1">
      <c r="A52" s="438" t="s">
        <v>608</v>
      </c>
      <c r="B52" s="323">
        <v>7.75</v>
      </c>
      <c r="C52" s="323">
        <v>5</v>
      </c>
      <c r="D52" s="323">
        <v>5.79</v>
      </c>
      <c r="E52" s="323">
        <v>7.75</v>
      </c>
      <c r="F52" s="323">
        <v>5</v>
      </c>
      <c r="G52" s="323">
        <v>5.79</v>
      </c>
    </row>
    <row r="53" spans="1:7" s="175" customFormat="1" ht="11.85" customHeight="1" thickBot="1">
      <c r="A53" s="1432" t="s">
        <v>609</v>
      </c>
      <c r="B53" s="786">
        <v>6.25</v>
      </c>
      <c r="C53" s="786">
        <v>5</v>
      </c>
      <c r="D53" s="786">
        <v>5.8</v>
      </c>
      <c r="E53" s="786">
        <v>6.25</v>
      </c>
      <c r="F53" s="786">
        <v>5</v>
      </c>
      <c r="G53" s="786">
        <v>5.8</v>
      </c>
    </row>
    <row r="54" spans="1:7">
      <c r="A54" s="123" t="s">
        <v>414</v>
      </c>
      <c r="B54" s="764" t="s">
        <v>1376</v>
      </c>
      <c r="C54" s="764"/>
      <c r="D54" s="764"/>
      <c r="E54" s="764"/>
      <c r="F54" s="68"/>
      <c r="G54" s="9"/>
    </row>
    <row r="57" spans="1:7">
      <c r="B57" s="90"/>
      <c r="C57" s="90"/>
      <c r="D57" s="90"/>
      <c r="E57" s="90"/>
      <c r="F57" s="90"/>
      <c r="G57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45" firstPageNumber="78" orientation="portrait" useFirstPageNumber="1" r:id="rId2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06"/>
  <sheetViews>
    <sheetView topLeftCell="S1" zoomScale="154" zoomScaleNormal="154" workbookViewId="0">
      <pane ySplit="6" topLeftCell="A50" activePane="bottomLeft" state="frozen"/>
      <selection activeCell="H48" sqref="H48"/>
      <selection pane="bottomLeft" activeCell="V54" sqref="V54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844" t="s">
        <v>129</v>
      </c>
      <c r="J1" s="1844"/>
      <c r="K1" s="1844"/>
      <c r="L1" s="1844"/>
      <c r="M1" s="1844"/>
      <c r="N1" s="1844"/>
      <c r="O1" s="1844"/>
      <c r="P1" s="1844"/>
      <c r="Q1" s="1844"/>
      <c r="R1" s="231" t="s">
        <v>130</v>
      </c>
      <c r="W1" s="1836" t="s">
        <v>1779</v>
      </c>
      <c r="X1" s="1836"/>
      <c r="Y1" s="1836"/>
      <c r="Z1" s="1091"/>
      <c r="AE1" s="1825" t="s">
        <v>129</v>
      </c>
      <c r="AF1" s="1825"/>
      <c r="AG1" s="1825"/>
      <c r="AH1" s="1825"/>
      <c r="AI1" s="1849" t="s">
        <v>327</v>
      </c>
      <c r="AJ1" s="1774"/>
      <c r="AN1" s="1836" t="s">
        <v>328</v>
      </c>
      <c r="AO1" s="1836"/>
      <c r="AP1" s="1836"/>
      <c r="AQ1" s="232"/>
      <c r="AR1" s="233"/>
      <c r="AS1" s="233"/>
      <c r="AT1" s="233"/>
      <c r="AU1" s="233"/>
      <c r="AV1" s="1803" t="s">
        <v>129</v>
      </c>
      <c r="AW1" s="1803"/>
      <c r="AX1" s="1803"/>
      <c r="AY1" s="1802" t="s">
        <v>327</v>
      </c>
      <c r="AZ1" s="1802"/>
      <c r="BA1" s="1802"/>
      <c r="BB1" s="1802"/>
      <c r="BC1" s="1802"/>
      <c r="BD1" s="1802"/>
      <c r="BE1" s="1802"/>
      <c r="BF1" s="1836" t="s">
        <v>328</v>
      </c>
      <c r="BG1" s="1836"/>
      <c r="BH1" s="1836"/>
      <c r="BJ1" s="1091"/>
      <c r="BK1" s="1091"/>
      <c r="BL1" s="1091"/>
      <c r="BM1" s="1091"/>
      <c r="BN1" s="1091"/>
      <c r="BO1" s="1091"/>
      <c r="BP1" s="1803" t="s">
        <v>129</v>
      </c>
      <c r="BQ1" s="1803"/>
      <c r="BR1" s="1803"/>
      <c r="BS1" s="1803"/>
      <c r="BT1" s="1803"/>
      <c r="BU1" s="1802" t="s">
        <v>327</v>
      </c>
      <c r="BV1" s="1802"/>
      <c r="BW1" s="1802"/>
      <c r="BX1" s="131"/>
      <c r="BY1" s="131"/>
      <c r="CB1" s="131"/>
      <c r="CC1" s="1800" t="s">
        <v>619</v>
      </c>
      <c r="CD1" s="1800"/>
      <c r="CE1" s="1800"/>
    </row>
    <row r="2" spans="3:85" s="42" customFormat="1" ht="11.25" customHeight="1">
      <c r="I2" s="234"/>
      <c r="J2" s="234"/>
      <c r="K2" s="234"/>
      <c r="L2" s="234"/>
      <c r="M2" s="234"/>
      <c r="N2" s="234"/>
      <c r="O2" s="234"/>
      <c r="P2" s="1833" t="s">
        <v>1431</v>
      </c>
      <c r="Q2" s="1833"/>
      <c r="R2" s="42" t="s">
        <v>326</v>
      </c>
      <c r="X2" s="1826" t="s">
        <v>1780</v>
      </c>
      <c r="Y2" s="1826"/>
      <c r="Z2" s="1118"/>
      <c r="AF2" s="1118"/>
      <c r="AG2" s="1834" t="s">
        <v>1431</v>
      </c>
      <c r="AH2" s="1834"/>
      <c r="AI2" s="42" t="s">
        <v>326</v>
      </c>
      <c r="AN2" s="1118"/>
      <c r="AO2" s="1834" t="s">
        <v>24</v>
      </c>
      <c r="AP2" s="1835"/>
      <c r="AQ2" s="235"/>
      <c r="AR2" s="235"/>
      <c r="AS2" s="235"/>
      <c r="AT2" s="235"/>
      <c r="AU2" s="235"/>
      <c r="AV2" s="235"/>
      <c r="AW2" s="1833" t="s">
        <v>1432</v>
      </c>
      <c r="AX2" s="1833"/>
      <c r="AY2" s="1092" t="s">
        <v>326</v>
      </c>
      <c r="AZ2" s="1118"/>
      <c r="BA2" s="1118"/>
      <c r="BB2" s="1118"/>
      <c r="BC2" s="1118"/>
      <c r="BD2" s="1118"/>
      <c r="BE2" s="1118"/>
      <c r="BF2" s="1118"/>
      <c r="BG2" s="1834" t="s">
        <v>24</v>
      </c>
      <c r="BH2" s="1835"/>
      <c r="BJ2" s="1118"/>
      <c r="BK2" s="1118"/>
      <c r="BL2" s="1118"/>
      <c r="BM2" s="1118"/>
      <c r="BN2" s="1118"/>
      <c r="BO2" s="1118"/>
      <c r="BP2" s="235"/>
      <c r="BQ2" s="235"/>
      <c r="BS2" s="1813" t="s">
        <v>1433</v>
      </c>
      <c r="BT2" s="1813"/>
      <c r="BU2" s="1804" t="s">
        <v>326</v>
      </c>
      <c r="BV2" s="1804"/>
      <c r="BW2" s="1118"/>
      <c r="BX2" s="1118"/>
      <c r="BY2" s="1118"/>
      <c r="CB2" s="543"/>
      <c r="CC2" s="109"/>
      <c r="CD2" s="1801" t="s">
        <v>24</v>
      </c>
      <c r="CE2" s="1801"/>
    </row>
    <row r="3" spans="3:85" s="249" customFormat="1" ht="24.75" customHeight="1">
      <c r="I3" s="1788" t="s">
        <v>1512</v>
      </c>
      <c r="J3" s="1791" t="s">
        <v>124</v>
      </c>
      <c r="K3" s="1792"/>
      <c r="L3" s="1793"/>
      <c r="M3" s="1785" t="s">
        <v>182</v>
      </c>
      <c r="N3" s="1785" t="s">
        <v>1057</v>
      </c>
      <c r="O3" s="1796" t="s">
        <v>679</v>
      </c>
      <c r="P3" s="1797"/>
      <c r="Q3" s="1798"/>
      <c r="R3" s="1794" t="s">
        <v>183</v>
      </c>
      <c r="S3" s="1794"/>
      <c r="T3" s="1795"/>
      <c r="U3" s="1830" t="s">
        <v>422</v>
      </c>
      <c r="V3" s="1791" t="s">
        <v>128</v>
      </c>
      <c r="W3" s="1792"/>
      <c r="X3" s="1792"/>
      <c r="Y3" s="1793"/>
      <c r="Z3" s="1845" t="s">
        <v>1058</v>
      </c>
      <c r="AA3" s="1822" t="s">
        <v>423</v>
      </c>
      <c r="AB3" s="1822"/>
      <c r="AC3" s="1822"/>
      <c r="AD3" s="1822"/>
      <c r="AE3" s="1811" t="s">
        <v>1390</v>
      </c>
      <c r="AF3" s="1811"/>
      <c r="AG3" s="1811"/>
      <c r="AH3" s="1811"/>
      <c r="AI3" s="1822" t="s">
        <v>424</v>
      </c>
      <c r="AJ3" s="1822"/>
      <c r="AK3" s="1822"/>
      <c r="AL3" s="1822"/>
      <c r="AM3" s="1811" t="s">
        <v>1071</v>
      </c>
      <c r="AN3" s="1811"/>
      <c r="AO3" s="1811"/>
      <c r="AP3" s="1811"/>
      <c r="AQ3" s="1838" t="s">
        <v>1058</v>
      </c>
      <c r="AR3" s="1822" t="s">
        <v>22</v>
      </c>
      <c r="AS3" s="1822"/>
      <c r="AT3" s="1822"/>
      <c r="AU3" s="1822"/>
      <c r="AV3" s="1822" t="s">
        <v>158</v>
      </c>
      <c r="AW3" s="1822"/>
      <c r="AX3" s="1822"/>
      <c r="AY3" s="1822" t="s">
        <v>1476</v>
      </c>
      <c r="AZ3" s="1822"/>
      <c r="BA3" s="1822"/>
      <c r="BB3" s="1787" t="s">
        <v>291</v>
      </c>
      <c r="BC3" s="1787" t="s">
        <v>828</v>
      </c>
      <c r="BD3" s="1811" t="s">
        <v>717</v>
      </c>
      <c r="BE3" s="1811"/>
      <c r="BF3" s="1811"/>
      <c r="BG3" s="1811"/>
      <c r="BH3" s="1811"/>
      <c r="BI3" s="1788" t="s">
        <v>1058</v>
      </c>
      <c r="BJ3" s="1811" t="s">
        <v>134</v>
      </c>
      <c r="BK3" s="1811"/>
      <c r="BL3" s="1811"/>
      <c r="BM3" s="1812"/>
      <c r="BN3" s="1811"/>
      <c r="BO3" s="1787" t="s">
        <v>135</v>
      </c>
      <c r="BP3" s="1817" t="s">
        <v>2260</v>
      </c>
      <c r="BQ3" s="1818"/>
      <c r="BR3" s="1818"/>
      <c r="BS3" s="1818"/>
      <c r="BT3" s="1819"/>
      <c r="BU3" s="1811" t="s">
        <v>197</v>
      </c>
      <c r="BV3" s="1811"/>
      <c r="BW3" s="1811"/>
      <c r="BX3" s="1811"/>
      <c r="BY3" s="1811"/>
      <c r="BZ3" s="1811"/>
      <c r="CA3" s="1811"/>
      <c r="CB3" s="1811"/>
      <c r="CC3" s="1811"/>
      <c r="CD3" s="1811"/>
      <c r="CE3" s="1811"/>
    </row>
    <row r="4" spans="3:85" s="249" customFormat="1" ht="27" customHeight="1">
      <c r="I4" s="1789"/>
      <c r="J4" s="1787" t="s">
        <v>1464</v>
      </c>
      <c r="K4" s="1787" t="s">
        <v>1362</v>
      </c>
      <c r="L4" s="1785" t="s">
        <v>1029</v>
      </c>
      <c r="M4" s="1846"/>
      <c r="N4" s="1847"/>
      <c r="O4" s="1785" t="s">
        <v>1059</v>
      </c>
      <c r="P4" s="1785" t="s">
        <v>195</v>
      </c>
      <c r="Q4" s="1089" t="s">
        <v>125</v>
      </c>
      <c r="R4" s="1823" t="s">
        <v>536</v>
      </c>
      <c r="S4" s="1824"/>
      <c r="T4" s="1829" t="s">
        <v>845</v>
      </c>
      <c r="U4" s="1831"/>
      <c r="V4" s="1785" t="s">
        <v>2081</v>
      </c>
      <c r="W4" s="1787" t="s">
        <v>1494</v>
      </c>
      <c r="X4" s="1827" t="s">
        <v>1777</v>
      </c>
      <c r="Y4" s="1787" t="s">
        <v>1778</v>
      </c>
      <c r="Z4" s="1845"/>
      <c r="AA4" s="1787" t="s">
        <v>196</v>
      </c>
      <c r="AB4" s="1787" t="s">
        <v>185</v>
      </c>
      <c r="AC4" s="1787" t="s">
        <v>184</v>
      </c>
      <c r="AD4" s="1787" t="s">
        <v>712</v>
      </c>
      <c r="AE4" s="1787" t="s">
        <v>1062</v>
      </c>
      <c r="AF4" s="1787" t="s">
        <v>186</v>
      </c>
      <c r="AG4" s="1787" t="s">
        <v>1063</v>
      </c>
      <c r="AH4" s="1787" t="s">
        <v>713</v>
      </c>
      <c r="AI4" s="1787" t="s">
        <v>1064</v>
      </c>
      <c r="AJ4" s="1787" t="s">
        <v>1065</v>
      </c>
      <c r="AK4" s="1787" t="s">
        <v>1066</v>
      </c>
      <c r="AL4" s="1787" t="s">
        <v>714</v>
      </c>
      <c r="AM4" s="1787" t="s">
        <v>715</v>
      </c>
      <c r="AN4" s="1837" t="s">
        <v>2154</v>
      </c>
      <c r="AO4" s="1787" t="s">
        <v>1067</v>
      </c>
      <c r="AP4" s="1787" t="s">
        <v>844</v>
      </c>
      <c r="AQ4" s="1839"/>
      <c r="AR4" s="1787" t="s">
        <v>1068</v>
      </c>
      <c r="AS4" s="1787" t="s">
        <v>1069</v>
      </c>
      <c r="AT4" s="1787" t="s">
        <v>1072</v>
      </c>
      <c r="AU4" s="1787" t="s">
        <v>1070</v>
      </c>
      <c r="AV4" s="1787" t="s">
        <v>23</v>
      </c>
      <c r="AW4" s="1787" t="s">
        <v>1141</v>
      </c>
      <c r="AX4" s="1787" t="s">
        <v>716</v>
      </c>
      <c r="AY4" s="1787" t="s">
        <v>188</v>
      </c>
      <c r="AZ4" s="1787" t="s">
        <v>1481</v>
      </c>
      <c r="BA4" s="1799" t="s">
        <v>523</v>
      </c>
      <c r="BB4" s="1787"/>
      <c r="BC4" s="1787"/>
      <c r="BD4" s="1799" t="s">
        <v>131</v>
      </c>
      <c r="BE4" s="1799"/>
      <c r="BF4" s="1799" t="s">
        <v>132</v>
      </c>
      <c r="BG4" s="1799"/>
      <c r="BH4" s="1787" t="s">
        <v>1479</v>
      </c>
      <c r="BI4" s="1789"/>
      <c r="BJ4" s="1787" t="s">
        <v>137</v>
      </c>
      <c r="BK4" s="1787" t="s">
        <v>138</v>
      </c>
      <c r="BL4" s="1816" t="s">
        <v>190</v>
      </c>
      <c r="BM4" s="1785" t="s">
        <v>143</v>
      </c>
      <c r="BN4" s="1785" t="s">
        <v>1495</v>
      </c>
      <c r="BO4" s="1787"/>
      <c r="BP4" s="1816" t="s">
        <v>2261</v>
      </c>
      <c r="BQ4" s="1820"/>
      <c r="BR4" s="1820"/>
      <c r="BS4" s="1821"/>
      <c r="BT4" s="1814" t="s">
        <v>2282</v>
      </c>
      <c r="BU4" s="1805" t="s">
        <v>868</v>
      </c>
      <c r="BV4" s="1805" t="s">
        <v>2279</v>
      </c>
      <c r="BW4" s="1805" t="s">
        <v>2280</v>
      </c>
      <c r="BX4" s="1810" t="s">
        <v>1105</v>
      </c>
      <c r="BY4" s="1786" t="s">
        <v>139</v>
      </c>
      <c r="BZ4" s="1807" t="s">
        <v>2153</v>
      </c>
      <c r="CA4" s="1808"/>
      <c r="CB4" s="1809"/>
      <c r="CC4" s="1807" t="s">
        <v>1342</v>
      </c>
      <c r="CD4" s="1808"/>
      <c r="CE4" s="1809"/>
    </row>
    <row r="5" spans="3:85" s="249" customFormat="1" ht="45.6" customHeight="1">
      <c r="H5" s="185"/>
      <c r="I5" s="1789"/>
      <c r="J5" s="1787"/>
      <c r="K5" s="1787"/>
      <c r="L5" s="1786"/>
      <c r="M5" s="1786"/>
      <c r="N5" s="1848"/>
      <c r="O5" s="1786"/>
      <c r="P5" s="1786"/>
      <c r="Q5" s="1088" t="s">
        <v>618</v>
      </c>
      <c r="R5" s="1088" t="s">
        <v>1060</v>
      </c>
      <c r="S5" s="1088" t="s">
        <v>1061</v>
      </c>
      <c r="T5" s="1787"/>
      <c r="U5" s="1831"/>
      <c r="V5" s="1786"/>
      <c r="W5" s="1787"/>
      <c r="X5" s="1828"/>
      <c r="Y5" s="1787"/>
      <c r="Z5" s="1845"/>
      <c r="AA5" s="1787"/>
      <c r="AB5" s="1787"/>
      <c r="AC5" s="1787"/>
      <c r="AD5" s="1787"/>
      <c r="AE5" s="1787"/>
      <c r="AF5" s="1787"/>
      <c r="AG5" s="1787"/>
      <c r="AH5" s="1787"/>
      <c r="AI5" s="1787"/>
      <c r="AJ5" s="1787"/>
      <c r="AK5" s="1787"/>
      <c r="AL5" s="1787"/>
      <c r="AM5" s="1787"/>
      <c r="AN5" s="1837"/>
      <c r="AO5" s="1787"/>
      <c r="AP5" s="1787"/>
      <c r="AQ5" s="1839"/>
      <c r="AR5" s="1787"/>
      <c r="AS5" s="1787"/>
      <c r="AT5" s="1787"/>
      <c r="AU5" s="1787"/>
      <c r="AV5" s="1787"/>
      <c r="AW5" s="1787"/>
      <c r="AX5" s="1787"/>
      <c r="AY5" s="1787"/>
      <c r="AZ5" s="1787"/>
      <c r="BA5" s="1799"/>
      <c r="BB5" s="1787"/>
      <c r="BC5" s="1787"/>
      <c r="BD5" s="1090" t="s">
        <v>1480</v>
      </c>
      <c r="BE5" s="1087" t="s">
        <v>189</v>
      </c>
      <c r="BF5" s="1090" t="s">
        <v>133</v>
      </c>
      <c r="BG5" s="1087" t="s">
        <v>189</v>
      </c>
      <c r="BH5" s="1787"/>
      <c r="BI5" s="1789"/>
      <c r="BJ5" s="1787"/>
      <c r="BK5" s="1787"/>
      <c r="BL5" s="1816"/>
      <c r="BM5" s="1786"/>
      <c r="BN5" s="1786"/>
      <c r="BO5" s="1787"/>
      <c r="BP5" s="1249" t="s">
        <v>2262</v>
      </c>
      <c r="BQ5" s="1258" t="s">
        <v>146</v>
      </c>
      <c r="BR5" s="1249" t="s">
        <v>147</v>
      </c>
      <c r="BS5" s="1249" t="s">
        <v>929</v>
      </c>
      <c r="BT5" s="1815"/>
      <c r="BU5" s="1806"/>
      <c r="BV5" s="1806"/>
      <c r="BW5" s="1806"/>
      <c r="BX5" s="1805"/>
      <c r="BY5" s="1787"/>
      <c r="BZ5" s="1093" t="s">
        <v>140</v>
      </c>
      <c r="CA5" s="1094" t="s">
        <v>141</v>
      </c>
      <c r="CB5" s="1248" t="s">
        <v>2263</v>
      </c>
      <c r="CC5" s="1094" t="s">
        <v>140</v>
      </c>
      <c r="CD5" s="1094" t="s">
        <v>141</v>
      </c>
      <c r="CE5" s="1248" t="s">
        <v>2264</v>
      </c>
    </row>
    <row r="6" spans="3:85" s="141" customFormat="1" ht="13.5" customHeight="1">
      <c r="I6" s="1790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845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40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790"/>
      <c r="BJ6" s="1110">
        <v>50</v>
      </c>
      <c r="BK6" s="1110">
        <v>51</v>
      </c>
      <c r="BL6" s="1110">
        <v>52</v>
      </c>
      <c r="BM6" s="1110">
        <v>53</v>
      </c>
      <c r="BN6" s="1110">
        <v>54</v>
      </c>
      <c r="BO6" s="1110">
        <v>55</v>
      </c>
      <c r="BP6" s="1110">
        <v>56</v>
      </c>
      <c r="BQ6" s="1252">
        <v>57</v>
      </c>
      <c r="BR6" s="1110">
        <v>58</v>
      </c>
      <c r="BS6" s="1110">
        <v>59</v>
      </c>
      <c r="BT6" s="1110">
        <v>60</v>
      </c>
      <c r="BU6" s="1110">
        <v>61</v>
      </c>
      <c r="BV6" s="1110">
        <v>62</v>
      </c>
      <c r="BW6" s="1110">
        <v>63</v>
      </c>
      <c r="BX6" s="1110">
        <v>64</v>
      </c>
      <c r="BY6" s="1110">
        <v>65</v>
      </c>
      <c r="BZ6" s="1110">
        <v>66</v>
      </c>
      <c r="CA6" s="1110">
        <v>67</v>
      </c>
      <c r="CB6" s="140">
        <v>68</v>
      </c>
      <c r="CC6" s="1110">
        <v>69</v>
      </c>
      <c r="CD6" s="140">
        <v>70</v>
      </c>
      <c r="CE6" s="1110">
        <v>71</v>
      </c>
    </row>
    <row r="7" spans="3:85" s="28" customFormat="1" ht="11.85" customHeight="1">
      <c r="I7" s="257" t="s">
        <v>81</v>
      </c>
      <c r="J7" s="25">
        <v>49947.3</v>
      </c>
      <c r="K7" s="1012">
        <v>518.1</v>
      </c>
      <c r="L7" s="27">
        <v>50465.4</v>
      </c>
      <c r="M7" s="1012">
        <v>4308.3</v>
      </c>
      <c r="N7" s="27">
        <v>46157.1</v>
      </c>
      <c r="O7" s="25">
        <v>7971.5</v>
      </c>
      <c r="P7" s="1012">
        <v>20181.099999999999</v>
      </c>
      <c r="Q7" s="1012">
        <v>41621.800000000003</v>
      </c>
      <c r="R7" s="25">
        <v>275042.8</v>
      </c>
      <c r="S7" s="1012">
        <v>316664.59999999998</v>
      </c>
      <c r="T7" s="25">
        <v>336845.69999999995</v>
      </c>
      <c r="U7" s="1012">
        <v>209.4</v>
      </c>
      <c r="V7" s="1012">
        <v>74142.799999999988</v>
      </c>
      <c r="W7" s="25">
        <v>87988.299999999988</v>
      </c>
      <c r="X7" s="25">
        <v>363031.1</v>
      </c>
      <c r="Y7" s="1012">
        <v>429337.2</v>
      </c>
      <c r="Z7" s="257" t="s">
        <v>81</v>
      </c>
      <c r="AA7" s="27">
        <v>0</v>
      </c>
      <c r="AB7" s="25">
        <v>10726.3</v>
      </c>
      <c r="AC7" s="1012">
        <v>253455.9</v>
      </c>
      <c r="AD7" s="1012">
        <v>264182.2</v>
      </c>
      <c r="AE7" s="27">
        <v>0</v>
      </c>
      <c r="AF7" s="25">
        <v>3865.2</v>
      </c>
      <c r="AG7" s="1012">
        <v>10202.4</v>
      </c>
      <c r="AH7" s="1012">
        <v>14067.599999999999</v>
      </c>
      <c r="AI7" s="1012">
        <v>2127.4</v>
      </c>
      <c r="AJ7" s="1012">
        <v>51891.3</v>
      </c>
      <c r="AK7" s="25">
        <v>4513.7</v>
      </c>
      <c r="AL7" s="25">
        <v>56405</v>
      </c>
      <c r="AM7" s="25">
        <v>2127.4</v>
      </c>
      <c r="AN7" s="1012">
        <v>66482.8</v>
      </c>
      <c r="AO7" s="25">
        <v>268172</v>
      </c>
      <c r="AP7" s="25">
        <v>334654.8</v>
      </c>
      <c r="AQ7" s="257" t="s">
        <v>81</v>
      </c>
      <c r="AR7" s="1012">
        <v>1749.5</v>
      </c>
      <c r="AS7" s="25">
        <v>5852.1</v>
      </c>
      <c r="AT7" s="1012">
        <v>5087.3</v>
      </c>
      <c r="AU7" s="1012">
        <v>1561.7</v>
      </c>
      <c r="AV7" s="1012">
        <v>336869.7</v>
      </c>
      <c r="AW7" s="1012">
        <v>3885.6</v>
      </c>
      <c r="AX7" s="1012">
        <v>340755.3</v>
      </c>
      <c r="AY7" s="25">
        <f>AX7*0.055</f>
        <v>18741.541499999999</v>
      </c>
      <c r="AZ7" s="245">
        <f t="shared" ref="AZ7" si="0">BA7-AY7</f>
        <v>4726.4585000000006</v>
      </c>
      <c r="BA7" s="25">
        <v>23468</v>
      </c>
      <c r="BB7" s="1012">
        <v>863330.4</v>
      </c>
      <c r="BC7" s="27">
        <v>81350</v>
      </c>
      <c r="BD7" s="25">
        <v>5.0999999999999996</v>
      </c>
      <c r="BE7" s="1012">
        <v>21788.2</v>
      </c>
      <c r="BF7" s="1012">
        <v>3141.2</v>
      </c>
      <c r="BG7" s="1012">
        <v>49111.5</v>
      </c>
      <c r="BH7" s="25">
        <v>74046</v>
      </c>
      <c r="BI7" s="257" t="s">
        <v>81</v>
      </c>
      <c r="BJ7" s="258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5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17">
        <v>11.31</v>
      </c>
      <c r="CB7" s="26">
        <f t="shared" ref="CB7:CB10" si="1">CA7-BZ7</f>
        <v>5.3000000000000007</v>
      </c>
      <c r="CC7" s="245" t="s">
        <v>306</v>
      </c>
      <c r="CD7" s="247" t="s">
        <v>306</v>
      </c>
      <c r="CE7" s="18" t="s">
        <v>306</v>
      </c>
    </row>
    <row r="8" spans="3:85" s="1012" customFormat="1" ht="11.85" customHeight="1">
      <c r="I8" s="325" t="s">
        <v>199</v>
      </c>
      <c r="J8" s="321">
        <v>59915.5</v>
      </c>
      <c r="K8" s="321">
        <v>611.4</v>
      </c>
      <c r="L8" s="327">
        <v>60526.9</v>
      </c>
      <c r="M8" s="321">
        <v>5731.8</v>
      </c>
      <c r="N8" s="327">
        <v>54795.1</v>
      </c>
      <c r="O8" s="321">
        <v>9482</v>
      </c>
      <c r="P8" s="321">
        <v>24919.8</v>
      </c>
      <c r="Q8" s="321">
        <v>48106.2</v>
      </c>
      <c r="R8" s="321">
        <v>337418.9</v>
      </c>
      <c r="S8" s="326">
        <v>385525.10000000003</v>
      </c>
      <c r="T8" s="321">
        <v>410444.9</v>
      </c>
      <c r="U8" s="321">
        <v>199.8</v>
      </c>
      <c r="V8" s="321">
        <v>89734.400000000009</v>
      </c>
      <c r="W8" s="321">
        <v>103101.09999999999</v>
      </c>
      <c r="X8" s="321">
        <v>440520</v>
      </c>
      <c r="Y8" s="321">
        <v>510456.39999999997</v>
      </c>
      <c r="Z8" s="325" t="s">
        <v>199</v>
      </c>
      <c r="AA8" s="321">
        <v>0</v>
      </c>
      <c r="AB8" s="321">
        <v>13830.7</v>
      </c>
      <c r="AC8" s="321">
        <v>312803.5</v>
      </c>
      <c r="AD8" s="321">
        <v>326634.2</v>
      </c>
      <c r="AE8" s="321">
        <v>0</v>
      </c>
      <c r="AF8" s="321">
        <v>4371.8999999999996</v>
      </c>
      <c r="AG8" s="321">
        <v>16670.400000000001</v>
      </c>
      <c r="AH8" s="321">
        <v>21042.300000000003</v>
      </c>
      <c r="AI8" s="321">
        <v>3080.3</v>
      </c>
      <c r="AJ8" s="321">
        <v>66704</v>
      </c>
      <c r="AK8" s="321">
        <v>8095.2</v>
      </c>
      <c r="AL8" s="321">
        <v>74799.199999999997</v>
      </c>
      <c r="AM8" s="321">
        <v>3080.3</v>
      </c>
      <c r="AN8" s="321">
        <v>84906.6</v>
      </c>
      <c r="AO8" s="321">
        <v>337569.10000000003</v>
      </c>
      <c r="AP8" s="321">
        <v>422475.7</v>
      </c>
      <c r="AQ8" s="325" t="s">
        <v>199</v>
      </c>
      <c r="AR8" s="321">
        <v>1959.3</v>
      </c>
      <c r="AS8" s="321">
        <v>17833.400000000001</v>
      </c>
      <c r="AT8" s="321">
        <v>3960.3</v>
      </c>
      <c r="AU8" s="321">
        <v>2329.1999999999998</v>
      </c>
      <c r="AV8" s="321">
        <v>410470.7</v>
      </c>
      <c r="AW8" s="321">
        <v>5461.7</v>
      </c>
      <c r="AX8" s="321">
        <v>415932.4</v>
      </c>
      <c r="AY8" s="321">
        <v>24955.944</v>
      </c>
      <c r="AZ8" s="316">
        <v>4051.7560000000012</v>
      </c>
      <c r="BA8" s="327">
        <v>29007.7</v>
      </c>
      <c r="BB8" s="321">
        <v>1087850.3</v>
      </c>
      <c r="BC8" s="327">
        <v>89534.6</v>
      </c>
      <c r="BD8" s="321">
        <v>10732.9</v>
      </c>
      <c r="BE8" s="321">
        <v>20625.2</v>
      </c>
      <c r="BF8" s="321">
        <v>2591</v>
      </c>
      <c r="BG8" s="321">
        <v>63715.1</v>
      </c>
      <c r="BH8" s="321">
        <v>97664.2</v>
      </c>
      <c r="BI8" s="325" t="s">
        <v>199</v>
      </c>
      <c r="BJ8" s="328">
        <v>34.89</v>
      </c>
      <c r="BK8" s="328">
        <v>28.72</v>
      </c>
      <c r="BL8" s="328">
        <v>25.84</v>
      </c>
      <c r="BM8" s="328">
        <v>27.41</v>
      </c>
      <c r="BN8" s="328">
        <v>21.34</v>
      </c>
      <c r="BO8" s="328">
        <v>2.08</v>
      </c>
      <c r="BP8" s="329">
        <v>3414</v>
      </c>
      <c r="BQ8" s="326">
        <v>1388</v>
      </c>
      <c r="BR8" s="326">
        <v>2847</v>
      </c>
      <c r="BS8" s="329">
        <v>63</v>
      </c>
      <c r="BT8" s="329">
        <v>7712</v>
      </c>
      <c r="BU8" s="328">
        <v>102.92469109244581</v>
      </c>
      <c r="BV8" s="328">
        <v>53.224935165975104</v>
      </c>
      <c r="BW8" s="328">
        <v>54.781600103734441</v>
      </c>
      <c r="BX8" s="328">
        <v>8.4633324619759698</v>
      </c>
      <c r="BY8" s="328">
        <v>5</v>
      </c>
      <c r="BZ8" s="328">
        <v>7.27</v>
      </c>
      <c r="CA8" s="328">
        <v>12.42</v>
      </c>
      <c r="CB8" s="320">
        <f t="shared" si="1"/>
        <v>5.15</v>
      </c>
      <c r="CC8" s="316" t="s">
        <v>306</v>
      </c>
      <c r="CD8" s="541" t="s">
        <v>306</v>
      </c>
      <c r="CE8" s="542" t="s">
        <v>306</v>
      </c>
    </row>
    <row r="9" spans="3:85" s="29" customFormat="1" ht="11.85" customHeight="1">
      <c r="I9" s="552" t="s">
        <v>932</v>
      </c>
      <c r="J9" s="58">
        <v>64200.7</v>
      </c>
      <c r="K9" s="58">
        <v>695.8</v>
      </c>
      <c r="L9" s="259">
        <v>64896.5</v>
      </c>
      <c r="M9" s="58">
        <v>6479.4</v>
      </c>
      <c r="N9" s="259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2" t="s">
        <v>932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2" t="s">
        <v>932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1">
        <v>2831.4819999999963</v>
      </c>
      <c r="BA9" s="259">
        <v>32662.3</v>
      </c>
      <c r="BB9" s="58">
        <v>1296703.2</v>
      </c>
      <c r="BC9" s="259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2" t="s">
        <v>932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1" t="s">
        <v>306</v>
      </c>
      <c r="CD9" s="553" t="s">
        <v>306</v>
      </c>
      <c r="CE9" s="249" t="s">
        <v>306</v>
      </c>
    </row>
    <row r="10" spans="3:85" s="29" customFormat="1" ht="11.85" customHeight="1">
      <c r="I10" s="325" t="s">
        <v>908</v>
      </c>
      <c r="J10" s="321">
        <v>74633.600000000006</v>
      </c>
      <c r="K10" s="321">
        <v>738.7</v>
      </c>
      <c r="L10" s="327">
        <v>75372.3</v>
      </c>
      <c r="M10" s="321">
        <v>7819.4</v>
      </c>
      <c r="N10" s="327">
        <v>67552.899999999994</v>
      </c>
      <c r="O10" s="321">
        <v>16749.2</v>
      </c>
      <c r="P10" s="321">
        <v>37251.699999999997</v>
      </c>
      <c r="Q10" s="321">
        <v>55736.5</v>
      </c>
      <c r="R10" s="321">
        <v>479902.3</v>
      </c>
      <c r="S10" s="326">
        <v>535638.80000000005</v>
      </c>
      <c r="T10" s="321">
        <v>572890.5</v>
      </c>
      <c r="U10" s="321">
        <v>313.7</v>
      </c>
      <c r="V10" s="321">
        <v>112489.39999999998</v>
      </c>
      <c r="W10" s="321">
        <v>123603.09999999999</v>
      </c>
      <c r="X10" s="321">
        <v>603505.4</v>
      </c>
      <c r="Y10" s="321">
        <v>680182.9</v>
      </c>
      <c r="Z10" s="325" t="s">
        <v>908</v>
      </c>
      <c r="AA10" s="321">
        <v>0</v>
      </c>
      <c r="AB10" s="321">
        <v>10424.6</v>
      </c>
      <c r="AC10" s="321">
        <v>417890.5</v>
      </c>
      <c r="AD10" s="321">
        <v>428315.1</v>
      </c>
      <c r="AE10" s="321">
        <v>0</v>
      </c>
      <c r="AF10" s="321">
        <v>939.6</v>
      </c>
      <c r="AG10" s="321">
        <v>18961.2</v>
      </c>
      <c r="AH10" s="321">
        <v>19900.8</v>
      </c>
      <c r="AI10" s="321">
        <v>6677.8</v>
      </c>
      <c r="AJ10" s="321">
        <v>123736.6</v>
      </c>
      <c r="AK10" s="321">
        <v>11125.2</v>
      </c>
      <c r="AL10" s="321">
        <v>134861.80000000002</v>
      </c>
      <c r="AM10" s="321">
        <v>6677.8</v>
      </c>
      <c r="AN10" s="321">
        <v>135100.80000000002</v>
      </c>
      <c r="AO10" s="321">
        <v>447976.9</v>
      </c>
      <c r="AP10" s="321">
        <v>583077.69999999995</v>
      </c>
      <c r="AQ10" s="325" t="s">
        <v>908</v>
      </c>
      <c r="AR10" s="321">
        <v>9784.5</v>
      </c>
      <c r="AS10" s="321">
        <v>9441.9</v>
      </c>
      <c r="AT10" s="321">
        <v>9640.7999999999993</v>
      </c>
      <c r="AU10" s="321">
        <v>147</v>
      </c>
      <c r="AV10" s="321">
        <v>572957.5</v>
      </c>
      <c r="AW10" s="321">
        <v>6509</v>
      </c>
      <c r="AX10" s="321">
        <v>579466.5</v>
      </c>
      <c r="AY10" s="321">
        <v>34767.99</v>
      </c>
      <c r="AZ10" s="316">
        <v>2035.4100000000035</v>
      </c>
      <c r="BA10" s="327">
        <v>36803.4</v>
      </c>
      <c r="BB10" s="321">
        <v>1462258.7</v>
      </c>
      <c r="BC10" s="327">
        <v>112175.70000000001</v>
      </c>
      <c r="BD10" s="321">
        <v>9204.5</v>
      </c>
      <c r="BE10" s="321">
        <v>21263.200000000001</v>
      </c>
      <c r="BF10" s="321">
        <v>3720.1000000000004</v>
      </c>
      <c r="BG10" s="321">
        <v>123280</v>
      </c>
      <c r="BH10" s="321">
        <v>157467.79999999999</v>
      </c>
      <c r="BI10" s="325" t="s">
        <v>908</v>
      </c>
      <c r="BJ10" s="328">
        <v>19.91</v>
      </c>
      <c r="BK10" s="328">
        <v>9.06</v>
      </c>
      <c r="BL10" s="328">
        <v>10.85</v>
      </c>
      <c r="BM10" s="328">
        <v>12.4</v>
      </c>
      <c r="BN10" s="328">
        <v>16.71</v>
      </c>
      <c r="BO10" s="328">
        <v>1.99</v>
      </c>
      <c r="BP10" s="329">
        <v>3499</v>
      </c>
      <c r="BQ10" s="326">
        <v>1476</v>
      </c>
      <c r="BR10" s="326">
        <v>3386</v>
      </c>
      <c r="BS10" s="329">
        <v>66</v>
      </c>
      <c r="BT10" s="329">
        <v>8427</v>
      </c>
      <c r="BU10" s="328">
        <v>101.76630901942988</v>
      </c>
      <c r="BV10" s="328">
        <v>67.990684703927855</v>
      </c>
      <c r="BW10" s="328">
        <v>69.191610300225463</v>
      </c>
      <c r="BX10" s="328">
        <v>7.7881518262698375</v>
      </c>
      <c r="BY10" s="328">
        <v>5</v>
      </c>
      <c r="BZ10" s="328">
        <v>8.5399999999999991</v>
      </c>
      <c r="CA10" s="328">
        <v>13.67</v>
      </c>
      <c r="CB10" s="320">
        <f t="shared" si="1"/>
        <v>5.1300000000000008</v>
      </c>
      <c r="CC10" s="318">
        <v>14.21</v>
      </c>
      <c r="CD10" s="320">
        <v>17.440000000000001</v>
      </c>
      <c r="CE10" s="320">
        <f>CD10-CC10</f>
        <v>3.2300000000000004</v>
      </c>
      <c r="CF10" s="30"/>
      <c r="CG10" s="30"/>
    </row>
    <row r="11" spans="3:85" s="280" customFormat="1" ht="11.85" customHeight="1">
      <c r="I11" s="250" t="s">
        <v>1108</v>
      </c>
      <c r="J11" s="252">
        <v>84714.1</v>
      </c>
      <c r="K11" s="252">
        <v>771.1</v>
      </c>
      <c r="L11" s="252">
        <v>85485.200000000012</v>
      </c>
      <c r="M11" s="252">
        <v>8576.7999999999993</v>
      </c>
      <c r="N11" s="252">
        <v>76908.400000000009</v>
      </c>
      <c r="O11" s="252">
        <v>14653.7</v>
      </c>
      <c r="P11" s="252">
        <v>39217.699999999997</v>
      </c>
      <c r="Q11" s="252">
        <v>64344.3</v>
      </c>
      <c r="R11" s="252">
        <v>558978.4</v>
      </c>
      <c r="S11" s="252">
        <v>623322.70000000007</v>
      </c>
      <c r="T11" s="252">
        <v>662540.4</v>
      </c>
      <c r="U11" s="252">
        <v>392.4</v>
      </c>
      <c r="V11" s="252">
        <v>129875.29999999999</v>
      </c>
      <c r="W11" s="252">
        <v>141645.1</v>
      </c>
      <c r="X11" s="252">
        <v>700623.5</v>
      </c>
      <c r="Y11" s="252">
        <v>792445.3</v>
      </c>
      <c r="Z11" s="250" t="s">
        <v>1108</v>
      </c>
      <c r="AA11" s="252">
        <v>0</v>
      </c>
      <c r="AB11" s="252">
        <v>12682.9</v>
      </c>
      <c r="AC11" s="252">
        <v>472716.79999999999</v>
      </c>
      <c r="AD11" s="252">
        <v>485399.7</v>
      </c>
      <c r="AE11" s="252">
        <v>0</v>
      </c>
      <c r="AF11" s="252">
        <v>1119.4000000000001</v>
      </c>
      <c r="AG11" s="252">
        <v>18229.8</v>
      </c>
      <c r="AH11" s="252">
        <v>19349.2</v>
      </c>
      <c r="AI11" s="252">
        <v>7694</v>
      </c>
      <c r="AJ11" s="252">
        <v>152996.79999999999</v>
      </c>
      <c r="AK11" s="252">
        <v>12420.6</v>
      </c>
      <c r="AL11" s="252">
        <v>165417.4</v>
      </c>
      <c r="AM11" s="252">
        <v>7694</v>
      </c>
      <c r="AN11" s="252">
        <v>166799.09999999998</v>
      </c>
      <c r="AO11" s="252">
        <v>503367.19999999995</v>
      </c>
      <c r="AP11" s="252">
        <v>670166.30000000005</v>
      </c>
      <c r="AQ11" s="250" t="s">
        <v>1108</v>
      </c>
      <c r="AR11" s="252">
        <v>5706.9</v>
      </c>
      <c r="AS11" s="252">
        <v>5526.6</v>
      </c>
      <c r="AT11" s="252">
        <v>9945.7000000000007</v>
      </c>
      <c r="AU11" s="252">
        <v>26.2</v>
      </c>
      <c r="AV11" s="252">
        <v>662559.30000000005</v>
      </c>
      <c r="AW11" s="252">
        <v>6612.1</v>
      </c>
      <c r="AX11" s="252">
        <v>669171.4</v>
      </c>
      <c r="AY11" s="252">
        <v>43496.141000000003</v>
      </c>
      <c r="AZ11" s="252">
        <v>501.55899999999383</v>
      </c>
      <c r="BA11" s="252">
        <v>43997.7</v>
      </c>
      <c r="BB11" s="252">
        <v>1689948.5</v>
      </c>
      <c r="BC11" s="252">
        <v>129482.90000000001</v>
      </c>
      <c r="BD11" s="252">
        <v>78.099999999999994</v>
      </c>
      <c r="BE11" s="252">
        <v>16886.2</v>
      </c>
      <c r="BF11" s="252">
        <v>2769.5</v>
      </c>
      <c r="BG11" s="252">
        <v>152495.40000000002</v>
      </c>
      <c r="BH11" s="252">
        <v>172229.2</v>
      </c>
      <c r="BI11" s="250" t="s">
        <v>1108</v>
      </c>
      <c r="BJ11" s="281">
        <v>6.72</v>
      </c>
      <c r="BK11" s="281">
        <v>34.71</v>
      </c>
      <c r="BL11" s="281">
        <v>12.27</v>
      </c>
      <c r="BM11" s="281">
        <v>11.57</v>
      </c>
      <c r="BN11" s="281">
        <v>15.46</v>
      </c>
      <c r="BO11" s="30">
        <v>1.92</v>
      </c>
      <c r="BP11" s="422">
        <v>3536</v>
      </c>
      <c r="BQ11" s="280">
        <v>1496</v>
      </c>
      <c r="BR11" s="280">
        <v>3692</v>
      </c>
      <c r="BS11" s="422">
        <v>70</v>
      </c>
      <c r="BT11" s="422">
        <v>8794</v>
      </c>
      <c r="BU11" s="281">
        <v>101.14812364719657</v>
      </c>
      <c r="BV11" s="281">
        <v>75.342199226745507</v>
      </c>
      <c r="BW11" s="281">
        <v>76.20722083238573</v>
      </c>
      <c r="BX11" s="281">
        <v>7.9350633218792641</v>
      </c>
      <c r="BY11" s="281">
        <v>5</v>
      </c>
      <c r="BZ11" s="281">
        <v>7.79</v>
      </c>
      <c r="CA11" s="281">
        <v>13.1</v>
      </c>
      <c r="CB11" s="281">
        <v>5.31</v>
      </c>
      <c r="CC11" s="281">
        <v>12.52</v>
      </c>
      <c r="CD11" s="281">
        <v>16.899999999999999</v>
      </c>
      <c r="CE11" s="281">
        <v>4.38</v>
      </c>
    </row>
    <row r="12" spans="3:85" s="280" customFormat="1" ht="11.85" customHeight="1">
      <c r="I12" s="315" t="s">
        <v>1167</v>
      </c>
      <c r="J12" s="503">
        <v>97361.5</v>
      </c>
      <c r="K12" s="503">
        <v>792.4</v>
      </c>
      <c r="L12" s="503">
        <v>98153.9</v>
      </c>
      <c r="M12" s="503">
        <v>10213.1</v>
      </c>
      <c r="N12" s="503">
        <v>87940.799999999988</v>
      </c>
      <c r="O12" s="503">
        <v>13317.8</v>
      </c>
      <c r="P12" s="503">
        <v>47116.6</v>
      </c>
      <c r="Q12" s="503">
        <v>72383.7</v>
      </c>
      <c r="R12" s="503">
        <v>626799.9</v>
      </c>
      <c r="S12" s="503">
        <v>699183.6</v>
      </c>
      <c r="T12" s="503">
        <v>746300.2</v>
      </c>
      <c r="U12" s="503">
        <v>489.7</v>
      </c>
      <c r="V12" s="503">
        <v>148482.50000000003</v>
      </c>
      <c r="W12" s="503">
        <v>160814.20000000001</v>
      </c>
      <c r="X12" s="503">
        <v>787614.10000000009</v>
      </c>
      <c r="Y12" s="503">
        <v>910049</v>
      </c>
      <c r="Z12" s="315" t="s">
        <v>1167</v>
      </c>
      <c r="AA12" s="317">
        <v>0</v>
      </c>
      <c r="AB12" s="317">
        <v>15343.1</v>
      </c>
      <c r="AC12" s="317">
        <v>537605.1</v>
      </c>
      <c r="AD12" s="317">
        <v>552948.19999999995</v>
      </c>
      <c r="AE12" s="317">
        <v>0</v>
      </c>
      <c r="AF12" s="317">
        <v>1250.4000000000001</v>
      </c>
      <c r="AG12" s="317">
        <v>18779.3</v>
      </c>
      <c r="AH12" s="317">
        <v>20029.7</v>
      </c>
      <c r="AI12" s="317">
        <v>7130.6</v>
      </c>
      <c r="AJ12" s="317">
        <v>157018.4</v>
      </c>
      <c r="AK12" s="317">
        <v>13569.3</v>
      </c>
      <c r="AL12" s="317">
        <v>170587.69999999998</v>
      </c>
      <c r="AM12" s="317">
        <v>7130.6</v>
      </c>
      <c r="AN12" s="317">
        <v>173611.9</v>
      </c>
      <c r="AO12" s="317">
        <v>569953.70000000007</v>
      </c>
      <c r="AP12" s="317">
        <v>743565.59999999986</v>
      </c>
      <c r="AQ12" s="315" t="s">
        <v>1167</v>
      </c>
      <c r="AR12" s="503">
        <v>5604.1</v>
      </c>
      <c r="AS12" s="503">
        <v>4823.6000000000004</v>
      </c>
      <c r="AT12" s="503">
        <v>7890.2</v>
      </c>
      <c r="AU12" s="503">
        <v>217.9</v>
      </c>
      <c r="AV12" s="503">
        <v>746329.9</v>
      </c>
      <c r="AW12" s="503">
        <v>6653.4</v>
      </c>
      <c r="AX12" s="503">
        <v>752983.3</v>
      </c>
      <c r="AY12" s="503">
        <v>48943.914500000006</v>
      </c>
      <c r="AZ12" s="503">
        <v>894.98549999999523</v>
      </c>
      <c r="BA12" s="503">
        <v>49838.9</v>
      </c>
      <c r="BB12" s="503">
        <v>1962638.4</v>
      </c>
      <c r="BC12" s="503">
        <v>147992.79999999999</v>
      </c>
      <c r="BD12" s="503">
        <v>2435.4</v>
      </c>
      <c r="BE12" s="503">
        <v>8796.4</v>
      </c>
      <c r="BF12" s="503">
        <v>3334.2</v>
      </c>
      <c r="BG12" s="503">
        <v>155768.70000000001</v>
      </c>
      <c r="BH12" s="503">
        <v>170334.7</v>
      </c>
      <c r="BI12" s="315" t="s">
        <v>1167</v>
      </c>
      <c r="BJ12" s="323">
        <v>-6.19</v>
      </c>
      <c r="BK12" s="323">
        <v>34.71</v>
      </c>
      <c r="BL12" s="323">
        <v>12.27</v>
      </c>
      <c r="BM12" s="323">
        <v>11.57</v>
      </c>
      <c r="BN12" s="323">
        <v>16.09</v>
      </c>
      <c r="BO12" s="328">
        <v>1.92</v>
      </c>
      <c r="BP12" s="324">
        <v>3669</v>
      </c>
      <c r="BQ12" s="322">
        <v>1405</v>
      </c>
      <c r="BR12" s="322">
        <v>3982</v>
      </c>
      <c r="BS12" s="324">
        <v>75</v>
      </c>
      <c r="BT12" s="324">
        <v>9131</v>
      </c>
      <c r="BU12" s="323">
        <v>99.629614196081363</v>
      </c>
      <c r="BV12" s="323">
        <v>81.735833972182675</v>
      </c>
      <c r="BW12" s="323">
        <v>81.43309604643521</v>
      </c>
      <c r="BX12" s="323">
        <v>8.0463076717146134</v>
      </c>
      <c r="BY12" s="323">
        <v>5</v>
      </c>
      <c r="BZ12" s="323">
        <v>6.8</v>
      </c>
      <c r="CA12" s="323">
        <v>11.67</v>
      </c>
      <c r="CB12" s="323">
        <v>4.87</v>
      </c>
      <c r="CC12" s="323">
        <v>10.61</v>
      </c>
      <c r="CD12" s="323">
        <v>15.12</v>
      </c>
      <c r="CE12" s="323">
        <v>4.51</v>
      </c>
    </row>
    <row r="13" spans="3:85" s="280" customFormat="1" ht="11.85" customHeight="1">
      <c r="C13" s="1832" t="s">
        <v>1627</v>
      </c>
      <c r="D13" s="1832"/>
      <c r="E13" s="1832"/>
      <c r="F13" s="1832"/>
      <c r="G13" s="1832"/>
      <c r="I13" s="250" t="s">
        <v>1299</v>
      </c>
      <c r="J13" s="508">
        <v>130728.7</v>
      </c>
      <c r="K13" s="508">
        <v>1576.5</v>
      </c>
      <c r="L13" s="508">
        <v>132305.20000000001</v>
      </c>
      <c r="M13" s="508">
        <v>10230.700000000001</v>
      </c>
      <c r="N13" s="508">
        <v>122074.50000000001</v>
      </c>
      <c r="O13" s="508">
        <v>17126.2</v>
      </c>
      <c r="P13" s="508">
        <v>55874.7</v>
      </c>
      <c r="Q13" s="508">
        <v>89759.1</v>
      </c>
      <c r="R13" s="508">
        <v>703947.2</v>
      </c>
      <c r="S13" s="508">
        <v>793706.29999999993</v>
      </c>
      <c r="T13" s="508">
        <v>849580.99999999988</v>
      </c>
      <c r="U13" s="508">
        <v>597.1</v>
      </c>
      <c r="V13" s="508">
        <v>193201.30000000002</v>
      </c>
      <c r="W13" s="508">
        <v>212430.70000000004</v>
      </c>
      <c r="X13" s="508">
        <v>916377.9</v>
      </c>
      <c r="Y13" s="510">
        <v>1076743.2</v>
      </c>
      <c r="Z13" s="250" t="s">
        <v>1299</v>
      </c>
      <c r="AA13" s="508">
        <v>0</v>
      </c>
      <c r="AB13" s="508">
        <v>14977.5</v>
      </c>
      <c r="AC13" s="508">
        <v>627918.19999999995</v>
      </c>
      <c r="AD13" s="508">
        <v>642895.69999999995</v>
      </c>
      <c r="AE13" s="508">
        <v>0</v>
      </c>
      <c r="AF13" s="508">
        <v>1589</v>
      </c>
      <c r="AG13" s="508">
        <v>22461</v>
      </c>
      <c r="AH13" s="508">
        <v>24050</v>
      </c>
      <c r="AI13" s="508">
        <v>8613</v>
      </c>
      <c r="AJ13" s="508">
        <v>157964.29999999999</v>
      </c>
      <c r="AK13" s="508">
        <v>15663.2</v>
      </c>
      <c r="AL13" s="508">
        <v>173627.5</v>
      </c>
      <c r="AM13" s="508">
        <v>8613</v>
      </c>
      <c r="AN13" s="508">
        <v>174530.8</v>
      </c>
      <c r="AO13" s="508">
        <v>666042.39999999991</v>
      </c>
      <c r="AP13" s="508">
        <v>840573.2</v>
      </c>
      <c r="AQ13" s="250" t="s">
        <v>1299</v>
      </c>
      <c r="AR13" s="508">
        <v>5436.7</v>
      </c>
      <c r="AS13" s="508">
        <v>18388.400000000001</v>
      </c>
      <c r="AT13" s="508">
        <v>12975.5</v>
      </c>
      <c r="AU13" s="508">
        <v>50.7</v>
      </c>
      <c r="AV13" s="508">
        <v>849617.20000000007</v>
      </c>
      <c r="AW13" s="508">
        <v>6908.3</v>
      </c>
      <c r="AX13" s="508">
        <v>856525.50000000012</v>
      </c>
      <c r="AY13" s="508">
        <v>55674.157500000008</v>
      </c>
      <c r="AZ13" s="508">
        <v>4624.8424999999916</v>
      </c>
      <c r="BA13" s="508">
        <v>60299</v>
      </c>
      <c r="BB13" s="508">
        <v>2370730.1</v>
      </c>
      <c r="BC13" s="508">
        <v>192604.2</v>
      </c>
      <c r="BD13" s="508">
        <v>4000</v>
      </c>
      <c r="BE13" s="508">
        <v>15984.8</v>
      </c>
      <c r="BF13" s="508">
        <v>3911.6</v>
      </c>
      <c r="BG13" s="508">
        <v>156583.5</v>
      </c>
      <c r="BH13" s="508">
        <v>180479.9</v>
      </c>
      <c r="BI13" s="250" t="s">
        <v>1299</v>
      </c>
      <c r="BJ13" s="606">
        <v>3.59</v>
      </c>
      <c r="BK13" s="606">
        <v>-3.71</v>
      </c>
      <c r="BL13" s="606">
        <v>16.78</v>
      </c>
      <c r="BM13" s="606">
        <v>14.22</v>
      </c>
      <c r="BN13" s="606">
        <v>16.350000000000001</v>
      </c>
      <c r="BO13" s="281">
        <v>2.2652458407438507</v>
      </c>
      <c r="BP13" s="422">
        <v>3700</v>
      </c>
      <c r="BQ13" s="280">
        <v>1407</v>
      </c>
      <c r="BR13" s="280">
        <v>4271</v>
      </c>
      <c r="BS13" s="870">
        <v>75</v>
      </c>
      <c r="BT13" s="870">
        <v>9453</v>
      </c>
      <c r="BU13" s="606">
        <v>98.935520608575231</v>
      </c>
      <c r="BV13" s="606">
        <v>89.878049296519634</v>
      </c>
      <c r="BW13" s="606">
        <v>88.921315984343593</v>
      </c>
      <c r="BX13" s="606">
        <v>8.3013503022302277</v>
      </c>
      <c r="BY13" s="606">
        <v>5</v>
      </c>
      <c r="BZ13" s="606">
        <v>5.54</v>
      </c>
      <c r="CA13" s="606">
        <v>10.39</v>
      </c>
      <c r="CB13" s="606">
        <v>4.8500000000000005</v>
      </c>
      <c r="CC13" s="606">
        <v>8.9499999999999993</v>
      </c>
      <c r="CD13" s="606">
        <v>13.07</v>
      </c>
      <c r="CE13" s="606">
        <v>4.120000000000001</v>
      </c>
    </row>
    <row r="14" spans="3:85" s="280" customFormat="1" ht="11.85" customHeight="1">
      <c r="C14" s="1832"/>
      <c r="D14" s="1832"/>
      <c r="E14" s="1832"/>
      <c r="F14" s="1832"/>
      <c r="G14" s="1832"/>
      <c r="I14" s="315" t="s">
        <v>1332</v>
      </c>
      <c r="J14" s="503">
        <v>149724.70000000001</v>
      </c>
      <c r="K14" s="503">
        <v>1540.5</v>
      </c>
      <c r="L14" s="503">
        <v>151265.20000000001</v>
      </c>
      <c r="M14" s="503">
        <v>13733.4</v>
      </c>
      <c r="N14" s="503">
        <v>137531.80000000002</v>
      </c>
      <c r="O14" s="503">
        <v>22096.9</v>
      </c>
      <c r="P14" s="503">
        <v>64651.3</v>
      </c>
      <c r="Q14" s="503">
        <v>101885.2</v>
      </c>
      <c r="R14" s="503">
        <v>775997.6</v>
      </c>
      <c r="S14" s="503">
        <v>877882.79999999993</v>
      </c>
      <c r="T14" s="503">
        <v>942534.1</v>
      </c>
      <c r="U14" s="503">
        <v>661.5</v>
      </c>
      <c r="V14" s="503">
        <v>224659.39999999997</v>
      </c>
      <c r="W14" s="503">
        <v>240078.5</v>
      </c>
      <c r="X14" s="503">
        <v>1016076.1</v>
      </c>
      <c r="Y14" s="484">
        <v>1233465.5</v>
      </c>
      <c r="Z14" s="315" t="s">
        <v>1332</v>
      </c>
      <c r="AA14" s="503">
        <v>0</v>
      </c>
      <c r="AB14" s="503">
        <v>15533.2</v>
      </c>
      <c r="AC14" s="503">
        <v>728117</v>
      </c>
      <c r="AD14" s="503">
        <v>743650.2</v>
      </c>
      <c r="AE14" s="503">
        <v>0</v>
      </c>
      <c r="AF14" s="503">
        <v>1726.2</v>
      </c>
      <c r="AG14" s="503">
        <v>27218.5</v>
      </c>
      <c r="AH14" s="503">
        <v>28944.7</v>
      </c>
      <c r="AI14" s="503">
        <v>14073.4</v>
      </c>
      <c r="AJ14" s="503">
        <v>152329.70000000001</v>
      </c>
      <c r="AK14" s="503">
        <v>15744.2</v>
      </c>
      <c r="AL14" s="503">
        <v>168073.90000000002</v>
      </c>
      <c r="AM14" s="503">
        <v>14073.4</v>
      </c>
      <c r="AN14" s="503">
        <v>169589.1</v>
      </c>
      <c r="AO14" s="503">
        <v>771079.7</v>
      </c>
      <c r="AP14" s="503">
        <v>940668.79999999993</v>
      </c>
      <c r="AQ14" s="315" t="s">
        <v>1332</v>
      </c>
      <c r="AR14" s="503">
        <v>7470.4</v>
      </c>
      <c r="AS14" s="503">
        <v>24394.1</v>
      </c>
      <c r="AT14" s="503">
        <v>20759.3</v>
      </c>
      <c r="AU14" s="503">
        <v>62.9</v>
      </c>
      <c r="AV14" s="503">
        <v>942558.51</v>
      </c>
      <c r="AW14" s="503">
        <v>5784.1</v>
      </c>
      <c r="AX14" s="503">
        <v>948342.61</v>
      </c>
      <c r="AY14" s="503">
        <v>61642.269650000002</v>
      </c>
      <c r="AZ14" s="503">
        <v>11090.430349999995</v>
      </c>
      <c r="BA14" s="503">
        <v>72732.7</v>
      </c>
      <c r="BB14" s="503">
        <v>2223734.2999999998</v>
      </c>
      <c r="BC14" s="503">
        <v>223997.90000000002</v>
      </c>
      <c r="BD14" s="503">
        <v>3015.6</v>
      </c>
      <c r="BE14" s="503">
        <v>10964.5</v>
      </c>
      <c r="BF14" s="503">
        <v>3364.4</v>
      </c>
      <c r="BG14" s="503">
        <v>151102.29999999999</v>
      </c>
      <c r="BH14" s="503">
        <v>168446.8</v>
      </c>
      <c r="BI14" s="315" t="s">
        <v>1332</v>
      </c>
      <c r="BJ14" s="487">
        <v>-14.78</v>
      </c>
      <c r="BK14" s="487">
        <v>7.66</v>
      </c>
      <c r="BL14" s="487">
        <v>15.66</v>
      </c>
      <c r="BM14" s="487">
        <v>11.16</v>
      </c>
      <c r="BN14" s="487">
        <v>10.88</v>
      </c>
      <c r="BO14" s="323">
        <v>2.2875324003782787</v>
      </c>
      <c r="BP14" s="324">
        <v>3713</v>
      </c>
      <c r="BQ14" s="322">
        <v>1407</v>
      </c>
      <c r="BR14" s="322">
        <v>4529</v>
      </c>
      <c r="BS14" s="965">
        <v>71</v>
      </c>
      <c r="BT14" s="965">
        <v>9720</v>
      </c>
      <c r="BU14" s="487">
        <v>99.799512711417776</v>
      </c>
      <c r="BV14" s="487">
        <v>96.971040123456788</v>
      </c>
      <c r="BW14" s="487">
        <v>96.776625514403278</v>
      </c>
      <c r="BX14" s="487">
        <v>9.1735525256676098</v>
      </c>
      <c r="BY14" s="487">
        <v>5</v>
      </c>
      <c r="BZ14" s="487">
        <v>4.84</v>
      </c>
      <c r="CA14" s="487">
        <v>9.56</v>
      </c>
      <c r="CB14" s="487">
        <v>4.7200000000000006</v>
      </c>
      <c r="CC14" s="487">
        <v>8.3699999999999992</v>
      </c>
      <c r="CD14" s="487">
        <v>11.69</v>
      </c>
      <c r="CE14" s="487">
        <v>3.3200000000000003</v>
      </c>
    </row>
    <row r="15" spans="3:85" s="280" customFormat="1" ht="11.85" customHeight="1">
      <c r="H15" s="175"/>
      <c r="I15" s="1189" t="s">
        <v>1471</v>
      </c>
      <c r="J15" s="508">
        <v>153411.20000000001</v>
      </c>
      <c r="K15" s="508">
        <v>1529.3</v>
      </c>
      <c r="L15" s="508">
        <v>154940.5</v>
      </c>
      <c r="M15" s="508">
        <v>14023</v>
      </c>
      <c r="N15" s="508">
        <v>140917.5</v>
      </c>
      <c r="O15" s="508">
        <v>33411</v>
      </c>
      <c r="P15" s="508">
        <v>75790.3</v>
      </c>
      <c r="Q15" s="508">
        <v>113217.1</v>
      </c>
      <c r="R15" s="508">
        <v>855087.3</v>
      </c>
      <c r="S15" s="508">
        <v>968304.4</v>
      </c>
      <c r="T15" s="508">
        <v>1044094.7000000001</v>
      </c>
      <c r="U15" s="508">
        <v>759.1</v>
      </c>
      <c r="V15" s="508">
        <v>233743</v>
      </c>
      <c r="W15" s="508">
        <v>254893.7</v>
      </c>
      <c r="X15" s="508">
        <v>1109981</v>
      </c>
      <c r="Y15" s="510">
        <v>1373748.5</v>
      </c>
      <c r="Z15" s="1189" t="s">
        <v>1471</v>
      </c>
      <c r="AA15" s="508">
        <v>0</v>
      </c>
      <c r="AB15" s="508">
        <v>18543.400000000001</v>
      </c>
      <c r="AC15" s="508">
        <v>859131.1</v>
      </c>
      <c r="AD15" s="508">
        <v>877674.5</v>
      </c>
      <c r="AE15" s="508">
        <v>0</v>
      </c>
      <c r="AF15" s="508">
        <v>1666.1</v>
      </c>
      <c r="AG15" s="508">
        <v>26533.1</v>
      </c>
      <c r="AH15" s="508">
        <v>28199.199999999997</v>
      </c>
      <c r="AI15" s="508">
        <v>17367.400000000001</v>
      </c>
      <c r="AJ15" s="508">
        <v>152836.79999999999</v>
      </c>
      <c r="AK15" s="508">
        <v>16721.3</v>
      </c>
      <c r="AL15" s="508">
        <v>169558.09999999998</v>
      </c>
      <c r="AM15" s="508">
        <v>17367.400000000001</v>
      </c>
      <c r="AN15" s="508">
        <v>173046.3</v>
      </c>
      <c r="AO15" s="508">
        <v>902385.5</v>
      </c>
      <c r="AP15" s="508">
        <v>1075431.7999999998</v>
      </c>
      <c r="AQ15" s="1189" t="s">
        <v>1471</v>
      </c>
      <c r="AR15" s="508">
        <v>9988.7999999999993</v>
      </c>
      <c r="AS15" s="508">
        <v>32329.9</v>
      </c>
      <c r="AT15" s="508">
        <v>25777.8</v>
      </c>
      <c r="AU15" s="508">
        <v>59.2</v>
      </c>
      <c r="AV15" s="508">
        <v>1044113.46</v>
      </c>
      <c r="AW15" s="508">
        <v>7577.6</v>
      </c>
      <c r="AX15" s="508">
        <v>1051691.06</v>
      </c>
      <c r="AY15" s="508">
        <v>55721.048349999997</v>
      </c>
      <c r="AZ15" s="508">
        <v>22320.841650000002</v>
      </c>
      <c r="BA15" s="508">
        <v>78041.89</v>
      </c>
      <c r="BB15" s="508">
        <v>2680520.5</v>
      </c>
      <c r="BC15" s="508">
        <v>232982.39</v>
      </c>
      <c r="BD15" s="508">
        <v>4000</v>
      </c>
      <c r="BE15" s="508">
        <v>17878.900000000001</v>
      </c>
      <c r="BF15" s="508">
        <v>4818</v>
      </c>
      <c r="BG15" s="508">
        <v>151396</v>
      </c>
      <c r="BH15" s="508">
        <v>178092.9</v>
      </c>
      <c r="BI15" s="1189" t="s">
        <v>1471</v>
      </c>
      <c r="BJ15" s="606">
        <v>-2.5099999999999998</v>
      </c>
      <c r="BK15" s="606">
        <v>11.11</v>
      </c>
      <c r="BL15" s="606">
        <v>16.940000000000001</v>
      </c>
      <c r="BM15" s="606">
        <v>14.71</v>
      </c>
      <c r="BN15" s="606">
        <v>9.24</v>
      </c>
      <c r="BO15" s="281">
        <v>2.3777416009823593</v>
      </c>
      <c r="BP15" s="422">
        <v>3741</v>
      </c>
      <c r="BQ15" s="29">
        <v>1411</v>
      </c>
      <c r="BR15" s="29">
        <v>4888</v>
      </c>
      <c r="BS15" s="870">
        <v>74</v>
      </c>
      <c r="BT15" s="870">
        <v>10114</v>
      </c>
      <c r="BU15" s="606">
        <v>102.99951501439315</v>
      </c>
      <c r="BV15" s="606">
        <v>103.23447300771208</v>
      </c>
      <c r="BW15" s="606">
        <v>106.33100652560805</v>
      </c>
      <c r="BX15" s="606">
        <v>8.8175177820234207</v>
      </c>
      <c r="BY15" s="606">
        <v>5</v>
      </c>
      <c r="BZ15" s="606">
        <v>5.5</v>
      </c>
      <c r="CA15" s="606">
        <v>9.9499999999999993</v>
      </c>
      <c r="CB15" s="606">
        <v>4.4499999999999993</v>
      </c>
      <c r="CC15" s="606">
        <v>10.14</v>
      </c>
      <c r="CD15" s="606">
        <v>12.67</v>
      </c>
      <c r="CE15" s="606">
        <v>2.5299999999999994</v>
      </c>
      <c r="CF15" s="281"/>
      <c r="CG15" s="281"/>
    </row>
    <row r="16" spans="3:85" s="490" customFormat="1" ht="11.85" customHeight="1">
      <c r="I16" s="332" t="s">
        <v>1600</v>
      </c>
      <c r="J16" s="503">
        <v>168858.3</v>
      </c>
      <c r="K16" s="503">
        <v>1528.8</v>
      </c>
      <c r="L16" s="503">
        <v>170387.09999999998</v>
      </c>
      <c r="M16" s="503">
        <v>16100.1</v>
      </c>
      <c r="N16" s="503">
        <v>154286.99999999997</v>
      </c>
      <c r="O16" s="503">
        <v>39425.5</v>
      </c>
      <c r="P16" s="503">
        <v>82779.3</v>
      </c>
      <c r="Q16" s="503">
        <v>118217.9</v>
      </c>
      <c r="R16" s="503">
        <v>946318.1</v>
      </c>
      <c r="S16" s="503">
        <v>1064536</v>
      </c>
      <c r="T16" s="503">
        <v>1147315.3</v>
      </c>
      <c r="U16" s="503">
        <v>788.5</v>
      </c>
      <c r="V16" s="503">
        <v>246187.7</v>
      </c>
      <c r="W16" s="503">
        <v>273293.39999999997</v>
      </c>
      <c r="X16" s="503">
        <v>1219611.5</v>
      </c>
      <c r="Y16" s="503">
        <v>1534026.9</v>
      </c>
      <c r="Z16" s="332" t="s">
        <v>1600</v>
      </c>
      <c r="AA16" s="503">
        <v>0</v>
      </c>
      <c r="AB16" s="503">
        <v>20919.7</v>
      </c>
      <c r="AC16" s="503">
        <v>959297.9</v>
      </c>
      <c r="AD16" s="503">
        <v>980217.6</v>
      </c>
      <c r="AE16" s="503">
        <v>0</v>
      </c>
      <c r="AF16" s="503">
        <v>1846.4</v>
      </c>
      <c r="AG16" s="503">
        <v>28721.3</v>
      </c>
      <c r="AH16" s="503">
        <v>30567.7</v>
      </c>
      <c r="AI16" s="503">
        <v>26155.9</v>
      </c>
      <c r="AJ16" s="503">
        <v>171543.8</v>
      </c>
      <c r="AK16" s="503">
        <v>17447.099999999999</v>
      </c>
      <c r="AL16" s="503">
        <v>188990.9</v>
      </c>
      <c r="AM16" s="503">
        <v>26155.9</v>
      </c>
      <c r="AN16" s="503">
        <v>194309.9</v>
      </c>
      <c r="AO16" s="503">
        <v>1005466.3</v>
      </c>
      <c r="AP16" s="503">
        <v>1199776.2</v>
      </c>
      <c r="AQ16" s="332" t="s">
        <v>1600</v>
      </c>
      <c r="AR16" s="503">
        <v>10348.200000000001</v>
      </c>
      <c r="AS16" s="503">
        <v>35369.800000000003</v>
      </c>
      <c r="AT16" s="503">
        <v>35152.699999999997</v>
      </c>
      <c r="AU16" s="503">
        <v>146.6</v>
      </c>
      <c r="AV16" s="503">
        <v>1147338.68</v>
      </c>
      <c r="AW16" s="503">
        <v>7705.6</v>
      </c>
      <c r="AX16" s="503">
        <v>1155044.28</v>
      </c>
      <c r="AY16" s="503">
        <v>60993.162450000003</v>
      </c>
      <c r="AZ16" s="503">
        <v>13942.628850000008</v>
      </c>
      <c r="BA16" s="503">
        <v>74935.791300000012</v>
      </c>
      <c r="BB16" s="503">
        <v>3029188.4</v>
      </c>
      <c r="BC16" s="503">
        <v>245322.89129999999</v>
      </c>
      <c r="BD16" s="503">
        <v>1422.9</v>
      </c>
      <c r="BE16" s="503">
        <v>30233</v>
      </c>
      <c r="BF16" s="503">
        <v>4900.8</v>
      </c>
      <c r="BG16" s="503">
        <v>168433.9</v>
      </c>
      <c r="BH16" s="503">
        <v>204990.59999999998</v>
      </c>
      <c r="BI16" s="332" t="s">
        <v>1600</v>
      </c>
      <c r="BJ16" s="487">
        <v>19.37</v>
      </c>
      <c r="BK16" s="487">
        <v>21.64</v>
      </c>
      <c r="BL16" s="487">
        <v>11.32</v>
      </c>
      <c r="BM16" s="487">
        <v>12.26</v>
      </c>
      <c r="BN16" s="487">
        <v>9.8800000000000008</v>
      </c>
      <c r="BO16" s="323">
        <v>2.4199747214584315</v>
      </c>
      <c r="BP16" s="324">
        <v>3759</v>
      </c>
      <c r="BQ16" s="965">
        <v>1483</v>
      </c>
      <c r="BR16" s="965">
        <v>5094</v>
      </c>
      <c r="BS16" s="965">
        <v>68</v>
      </c>
      <c r="BT16" s="965">
        <v>10396</v>
      </c>
      <c r="BU16" s="487">
        <v>104.57036103759702</v>
      </c>
      <c r="BV16" s="487">
        <v>110.36347441323585</v>
      </c>
      <c r="BW16" s="487">
        <v>115.40748364755675</v>
      </c>
      <c r="BX16" s="487">
        <v>7.9345264730375886</v>
      </c>
      <c r="BY16" s="487">
        <v>5</v>
      </c>
      <c r="BZ16" s="487">
        <v>5.43</v>
      </c>
      <c r="CA16" s="487">
        <v>9.58</v>
      </c>
      <c r="CB16" s="487">
        <v>4.1500000000000004</v>
      </c>
      <c r="CC16" s="487">
        <v>10.56</v>
      </c>
      <c r="CD16" s="487">
        <v>13</v>
      </c>
      <c r="CE16" s="487">
        <v>2.4399999999999995</v>
      </c>
    </row>
    <row r="17" spans="1:86" s="177" customFormat="1" ht="11.85" customHeight="1">
      <c r="A17" s="175"/>
      <c r="B17" s="175"/>
      <c r="C17" s="175"/>
      <c r="D17" s="175"/>
      <c r="E17" s="175"/>
      <c r="F17" s="175"/>
      <c r="G17" s="175"/>
      <c r="H17" s="175"/>
      <c r="I17" s="204" t="s">
        <v>1695</v>
      </c>
      <c r="J17" s="600">
        <v>206552.2</v>
      </c>
      <c r="K17" s="600">
        <v>1541.9</v>
      </c>
      <c r="L17" s="600">
        <v>208094.1</v>
      </c>
      <c r="M17" s="600">
        <v>15979.6</v>
      </c>
      <c r="N17" s="600">
        <v>192114.5</v>
      </c>
      <c r="O17" s="600">
        <v>30355.7</v>
      </c>
      <c r="P17" s="600">
        <v>88099.4</v>
      </c>
      <c r="Q17" s="600">
        <v>135528.4</v>
      </c>
      <c r="R17" s="600">
        <v>1045471.1</v>
      </c>
      <c r="S17" s="600">
        <v>1180999.5</v>
      </c>
      <c r="T17" s="600">
        <v>1269098.8999999999</v>
      </c>
      <c r="U17" s="600">
        <v>621</v>
      </c>
      <c r="V17" s="600">
        <v>284483.40000000002</v>
      </c>
      <c r="W17" s="600">
        <v>328263.90000000002</v>
      </c>
      <c r="X17" s="600">
        <v>1373735</v>
      </c>
      <c r="Y17" s="600">
        <v>1703937.4</v>
      </c>
      <c r="Z17" s="204" t="s">
        <v>1695</v>
      </c>
      <c r="AA17" s="600">
        <v>0</v>
      </c>
      <c r="AB17" s="600">
        <v>25708.3</v>
      </c>
      <c r="AC17" s="600">
        <v>1050976</v>
      </c>
      <c r="AD17" s="600">
        <v>1076684.3</v>
      </c>
      <c r="AE17" s="600">
        <v>0</v>
      </c>
      <c r="AF17" s="600">
        <v>1921.3</v>
      </c>
      <c r="AG17" s="600">
        <v>22033.3</v>
      </c>
      <c r="AH17" s="600">
        <v>23954.6</v>
      </c>
      <c r="AI17" s="600">
        <v>25407.3</v>
      </c>
      <c r="AJ17" s="600">
        <v>232935.5</v>
      </c>
      <c r="AK17" s="600">
        <v>18916</v>
      </c>
      <c r="AL17" s="600">
        <v>251851.5</v>
      </c>
      <c r="AM17" s="600">
        <v>25407.3</v>
      </c>
      <c r="AN17" s="600">
        <v>260565.1</v>
      </c>
      <c r="AO17" s="600">
        <v>1091925.3</v>
      </c>
      <c r="AP17" s="600">
        <v>1352490.4000000001</v>
      </c>
      <c r="AQ17" s="204" t="s">
        <v>1695</v>
      </c>
      <c r="AR17" s="600">
        <v>13614.7</v>
      </c>
      <c r="AS17" s="600">
        <v>50299.7</v>
      </c>
      <c r="AT17" s="600">
        <v>35190.199999999997</v>
      </c>
      <c r="AU17" s="600">
        <v>58.5</v>
      </c>
      <c r="AV17" s="600">
        <v>1269113.6399999999</v>
      </c>
      <c r="AW17" s="600">
        <v>10934.2</v>
      </c>
      <c r="AX17" s="600">
        <v>1280047.8399999999</v>
      </c>
      <c r="AY17" s="600">
        <v>49693.31</v>
      </c>
      <c r="AZ17" s="600">
        <v>26071.655700000003</v>
      </c>
      <c r="BA17" s="600">
        <v>75764.965700000001</v>
      </c>
      <c r="BB17" s="600">
        <v>3332696.5</v>
      </c>
      <c r="BC17" s="600">
        <v>283859.06570000004</v>
      </c>
      <c r="BD17" s="600">
        <v>10631</v>
      </c>
      <c r="BE17" s="600">
        <v>36086.9</v>
      </c>
      <c r="BF17" s="600">
        <v>4710.3</v>
      </c>
      <c r="BG17" s="600">
        <v>229191.6</v>
      </c>
      <c r="BH17" s="600">
        <v>280619.8</v>
      </c>
      <c r="BI17" s="204" t="s">
        <v>1695</v>
      </c>
      <c r="BJ17" s="599">
        <v>55.51</v>
      </c>
      <c r="BK17" s="599">
        <v>25.09</v>
      </c>
      <c r="BL17" s="599">
        <v>8.61</v>
      </c>
      <c r="BM17" s="599">
        <v>13.58</v>
      </c>
      <c r="BN17" s="599">
        <v>12.64</v>
      </c>
      <c r="BO17" s="374">
        <v>2.3079189217716665</v>
      </c>
      <c r="BP17" s="673">
        <v>3775</v>
      </c>
      <c r="BQ17" s="673">
        <v>1483</v>
      </c>
      <c r="BR17" s="673">
        <v>5265</v>
      </c>
      <c r="BS17" s="673">
        <v>65</v>
      </c>
      <c r="BT17" s="673">
        <v>10588</v>
      </c>
      <c r="BU17" s="599">
        <v>106.56968433496627</v>
      </c>
      <c r="BV17" s="599">
        <v>119.86339629769549</v>
      </c>
      <c r="BW17" s="599">
        <v>127.73804306762374</v>
      </c>
      <c r="BX17" s="599">
        <v>7.2290268427025977</v>
      </c>
      <c r="BY17" s="599">
        <v>5</v>
      </c>
      <c r="BZ17" s="599">
        <v>5.0599999999999996</v>
      </c>
      <c r="CA17" s="599">
        <v>7.95</v>
      </c>
      <c r="CB17" s="599">
        <v>2.8900000000000006</v>
      </c>
      <c r="CC17" s="599">
        <v>9.7200000000000006</v>
      </c>
      <c r="CD17" s="599">
        <v>12.93</v>
      </c>
      <c r="CE17" s="599">
        <v>3.2099999999999991</v>
      </c>
    </row>
    <row r="18" spans="1:86" s="177" customFormat="1" ht="11.85" customHeight="1">
      <c r="A18" s="175"/>
      <c r="B18" s="175"/>
      <c r="C18" s="175"/>
      <c r="D18" s="175"/>
      <c r="E18" s="175"/>
      <c r="F18" s="175"/>
      <c r="G18" s="948"/>
      <c r="H18" s="948"/>
      <c r="I18" s="334" t="s">
        <v>1764</v>
      </c>
      <c r="J18" s="603">
        <f>J30</f>
        <v>225322.2</v>
      </c>
      <c r="K18" s="603">
        <f t="shared" ref="K18:U18" si="2">K30</f>
        <v>1566.1</v>
      </c>
      <c r="L18" s="603">
        <f t="shared" si="2"/>
        <v>226888.30000000002</v>
      </c>
      <c r="M18" s="603">
        <f t="shared" si="2"/>
        <v>17370.599999999999</v>
      </c>
      <c r="N18" s="603">
        <f t="shared" si="2"/>
        <v>209517.7</v>
      </c>
      <c r="O18" s="603">
        <f t="shared" si="2"/>
        <v>40048.199999999997</v>
      </c>
      <c r="P18" s="603">
        <f t="shared" si="2"/>
        <v>96176.5</v>
      </c>
      <c r="Q18" s="603">
        <f t="shared" si="2"/>
        <v>165724.5</v>
      </c>
      <c r="R18" s="603">
        <f t="shared" si="2"/>
        <v>1185066.6000000001</v>
      </c>
      <c r="S18" s="603">
        <f t="shared" si="2"/>
        <v>1350791.1</v>
      </c>
      <c r="T18" s="603">
        <f t="shared" si="2"/>
        <v>1446967.6</v>
      </c>
      <c r="U18" s="603">
        <f t="shared" si="2"/>
        <v>586.5</v>
      </c>
      <c r="V18" s="603">
        <f>V30</f>
        <v>348071.80000000005</v>
      </c>
      <c r="W18" s="603">
        <f t="shared" ref="W18:X18" si="3">W30</f>
        <v>375828.7</v>
      </c>
      <c r="X18" s="603">
        <f t="shared" si="3"/>
        <v>1560895.3</v>
      </c>
      <c r="Y18" s="603">
        <f>Y30</f>
        <v>1929045.3</v>
      </c>
      <c r="Z18" s="334" t="s">
        <v>1764</v>
      </c>
      <c r="AA18" s="603">
        <f t="shared" ref="AA18:AD18" si="4">AA30</f>
        <v>0</v>
      </c>
      <c r="AB18" s="603">
        <f t="shared" si="4"/>
        <v>26917.4</v>
      </c>
      <c r="AC18" s="603">
        <f t="shared" si="4"/>
        <v>1139574.1000000001</v>
      </c>
      <c r="AD18" s="603">
        <f t="shared" si="4"/>
        <v>1166491.5</v>
      </c>
      <c r="AE18" s="603">
        <f t="shared" ref="AE18:AP18" si="5">AE30</f>
        <v>0</v>
      </c>
      <c r="AF18" s="603">
        <f t="shared" si="5"/>
        <v>1788.7</v>
      </c>
      <c r="AG18" s="603">
        <f t="shared" si="5"/>
        <v>22235.9</v>
      </c>
      <c r="AH18" s="603">
        <f t="shared" si="5"/>
        <v>24024.600000000002</v>
      </c>
      <c r="AI18" s="603">
        <f t="shared" si="5"/>
        <v>29531.4</v>
      </c>
      <c r="AJ18" s="603">
        <f t="shared" si="5"/>
        <v>299276.3</v>
      </c>
      <c r="AK18" s="603">
        <f t="shared" si="5"/>
        <v>21206.9</v>
      </c>
      <c r="AL18" s="603">
        <f t="shared" si="5"/>
        <v>320483.20000000001</v>
      </c>
      <c r="AM18" s="603">
        <f t="shared" si="5"/>
        <v>29531.4</v>
      </c>
      <c r="AN18" s="603">
        <f t="shared" si="5"/>
        <v>327982.39999999997</v>
      </c>
      <c r="AO18" s="603">
        <f t="shared" si="5"/>
        <v>1183016.8999999999</v>
      </c>
      <c r="AP18" s="603">
        <f t="shared" si="5"/>
        <v>1510999.3</v>
      </c>
      <c r="AQ18" s="334" t="s">
        <v>1764</v>
      </c>
      <c r="AR18" s="603">
        <f t="shared" ref="AR18:BH18" si="6">AR30</f>
        <v>7539</v>
      </c>
      <c r="AS18" s="603">
        <f t="shared" si="6"/>
        <v>73626.100000000006</v>
      </c>
      <c r="AT18" s="603">
        <f t="shared" si="6"/>
        <v>37421.1</v>
      </c>
      <c r="AU18" s="603">
        <f t="shared" si="6"/>
        <v>75.3</v>
      </c>
      <c r="AV18" s="603">
        <f t="shared" si="6"/>
        <v>1446984.11</v>
      </c>
      <c r="AW18" s="603">
        <f t="shared" si="6"/>
        <v>9967.1</v>
      </c>
      <c r="AX18" s="603">
        <f t="shared" si="6"/>
        <v>1456951.2100000002</v>
      </c>
      <c r="AY18" s="603">
        <f t="shared" si="6"/>
        <v>56448.3024</v>
      </c>
      <c r="AZ18" s="603">
        <f t="shared" si="6"/>
        <v>64144.017200000002</v>
      </c>
      <c r="BA18" s="603">
        <f t="shared" si="6"/>
        <v>120592.3196</v>
      </c>
      <c r="BB18" s="603">
        <f t="shared" si="6"/>
        <v>3842083.7</v>
      </c>
      <c r="BC18" s="603">
        <f t="shared" si="6"/>
        <v>347480.61960000003</v>
      </c>
      <c r="BD18" s="603">
        <f t="shared" si="6"/>
        <v>4126.8</v>
      </c>
      <c r="BE18" s="603">
        <f t="shared" si="6"/>
        <v>29712.3</v>
      </c>
      <c r="BF18" s="603">
        <f t="shared" si="6"/>
        <v>5780.6</v>
      </c>
      <c r="BG18" s="603">
        <f t="shared" si="6"/>
        <v>295402.2</v>
      </c>
      <c r="BH18" s="603">
        <f t="shared" si="6"/>
        <v>335021.89999999997</v>
      </c>
      <c r="BI18" s="334" t="s">
        <v>1764</v>
      </c>
      <c r="BJ18" s="671">
        <f>BJ30</f>
        <v>22.01</v>
      </c>
      <c r="BK18" s="671">
        <f t="shared" ref="BK18:BN18" si="7">BK30</f>
        <v>2.75</v>
      </c>
      <c r="BL18" s="671">
        <f t="shared" si="7"/>
        <v>8.35</v>
      </c>
      <c r="BM18" s="671">
        <f t="shared" si="7"/>
        <v>10.11</v>
      </c>
      <c r="BN18" s="671">
        <f t="shared" si="7"/>
        <v>13.62</v>
      </c>
      <c r="BO18" s="366">
        <v>2.2616411235269913</v>
      </c>
      <c r="BP18" s="712">
        <f t="shared" ref="BP18" si="8">BP30</f>
        <v>3801</v>
      </c>
      <c r="BQ18" s="712">
        <f>BQ30</f>
        <v>1504</v>
      </c>
      <c r="BR18" s="712">
        <f>BR30</f>
        <v>5421</v>
      </c>
      <c r="BS18" s="712">
        <f>BS30</f>
        <v>67</v>
      </c>
      <c r="BT18" s="712">
        <f t="shared" ref="BT18" si="9">BT30</f>
        <v>10793</v>
      </c>
      <c r="BU18" s="671">
        <f t="shared" ref="BU18:CE18" si="10">BU30</f>
        <v>104.42404236215144</v>
      </c>
      <c r="BV18" s="671">
        <f t="shared" si="10"/>
        <v>134.06690540164922</v>
      </c>
      <c r="BW18" s="671">
        <f t="shared" si="10"/>
        <v>139.99808209024368</v>
      </c>
      <c r="BX18" s="671">
        <f t="shared" si="10"/>
        <v>9.5345151786082845</v>
      </c>
      <c r="BY18" s="671">
        <f t="shared" si="10"/>
        <v>4</v>
      </c>
      <c r="BZ18" s="671">
        <f t="shared" si="10"/>
        <v>4.13</v>
      </c>
      <c r="CA18" s="671">
        <f t="shared" si="10"/>
        <v>7.33</v>
      </c>
      <c r="CB18" s="671">
        <f t="shared" si="10"/>
        <v>3.2</v>
      </c>
      <c r="CC18" s="671">
        <f t="shared" si="10"/>
        <v>7.82</v>
      </c>
      <c r="CD18" s="671">
        <f t="shared" si="10"/>
        <v>11.19</v>
      </c>
      <c r="CE18" s="671">
        <f t="shared" si="10"/>
        <v>3.3699999999999992</v>
      </c>
    </row>
    <row r="19" spans="1:86" s="177" customFormat="1" ht="11.85" customHeight="1">
      <c r="A19" s="175"/>
      <c r="B19" s="175"/>
      <c r="C19" s="175"/>
      <c r="D19" s="175"/>
      <c r="E19" s="175"/>
      <c r="F19" s="175"/>
      <c r="G19" s="948"/>
      <c r="H19" s="948"/>
      <c r="I19" s="152" t="s">
        <v>606</v>
      </c>
      <c r="J19" s="508">
        <v>223127.4</v>
      </c>
      <c r="K19" s="508">
        <v>1541.7</v>
      </c>
      <c r="L19" s="508">
        <f t="shared" ref="L19:L48" si="11">J19+K19</f>
        <v>224669.1</v>
      </c>
      <c r="M19" s="508">
        <v>13685.3</v>
      </c>
      <c r="N19" s="508">
        <f t="shared" ref="N19:N45" si="12">L19-M19</f>
        <v>210983.80000000002</v>
      </c>
      <c r="O19" s="508">
        <v>26794</v>
      </c>
      <c r="P19" s="508">
        <v>85424.8</v>
      </c>
      <c r="Q19" s="508">
        <v>128389</v>
      </c>
      <c r="R19" s="508">
        <v>1065004.2</v>
      </c>
      <c r="S19" s="508">
        <f t="shared" ref="S19:S48" si="13">Q19+R19</f>
        <v>1193393.2</v>
      </c>
      <c r="T19" s="508">
        <f t="shared" ref="T19:T48" si="14">P19+S19</f>
        <v>1278818</v>
      </c>
      <c r="U19" s="508">
        <v>501.3</v>
      </c>
      <c r="V19" s="508">
        <v>291913.3</v>
      </c>
      <c r="W19" s="508">
        <f t="shared" ref="W19:W45" si="15">N19+Q19+U19</f>
        <v>339874.10000000003</v>
      </c>
      <c r="X19" s="508">
        <f t="shared" ref="X19:X45" si="16">R19+W19</f>
        <v>1404878.3</v>
      </c>
      <c r="Y19" s="508">
        <v>1738811.8</v>
      </c>
      <c r="Z19" s="175" t="s">
        <v>606</v>
      </c>
      <c r="AA19" s="252">
        <v>0</v>
      </c>
      <c r="AB19" s="508">
        <v>26163.7</v>
      </c>
      <c r="AC19" s="508">
        <v>1048906.6000000001</v>
      </c>
      <c r="AD19" s="508">
        <f t="shared" ref="AD19:AD48" si="17">AB19+AC19</f>
        <v>1075070.3</v>
      </c>
      <c r="AE19" s="252">
        <v>0</v>
      </c>
      <c r="AF19" s="508">
        <v>2078.1999999999998</v>
      </c>
      <c r="AG19" s="508">
        <v>21792</v>
      </c>
      <c r="AH19" s="508">
        <f t="shared" ref="AH19:AH48" si="18">AF19+AG19</f>
        <v>23870.2</v>
      </c>
      <c r="AI19" s="521">
        <v>25291.599999999999</v>
      </c>
      <c r="AJ19" s="521">
        <v>248078.5</v>
      </c>
      <c r="AK19" s="521">
        <v>19376.900000000001</v>
      </c>
      <c r="AL19" s="521">
        <f t="shared" ref="AL19:AL48" si="19">AJ19+AK19</f>
        <v>267455.40000000002</v>
      </c>
      <c r="AM19" s="521">
        <f t="shared" ref="AM19:AP43" si="20">AA19+AE19+AI19</f>
        <v>25291.599999999999</v>
      </c>
      <c r="AN19" s="521">
        <f t="shared" si="20"/>
        <v>276320.40000000002</v>
      </c>
      <c r="AO19" s="521">
        <f t="shared" si="20"/>
        <v>1090075.5</v>
      </c>
      <c r="AP19" s="521">
        <f t="shared" si="20"/>
        <v>1366395.9</v>
      </c>
      <c r="AQ19" s="175" t="s">
        <v>606</v>
      </c>
      <c r="AR19" s="508">
        <v>13576.2</v>
      </c>
      <c r="AS19" s="508">
        <v>52027.3</v>
      </c>
      <c r="AT19" s="508">
        <v>34275.199999999997</v>
      </c>
      <c r="AU19" s="508">
        <v>64.599999999999994</v>
      </c>
      <c r="AV19" s="508">
        <f>1278868-28.8</f>
        <v>1278839.2</v>
      </c>
      <c r="AW19" s="508">
        <v>11712.9</v>
      </c>
      <c r="AX19" s="508">
        <f t="shared" ref="AX19:AX48" si="21">AV19+AW19</f>
        <v>1290552.0999999999</v>
      </c>
      <c r="AY19" s="508">
        <f>0.04*1254088.3</f>
        <v>50163.532000000007</v>
      </c>
      <c r="AZ19" s="508">
        <f t="shared" ref="AZ19:AZ36" si="22">BA19-AY19</f>
        <v>16575.05279999999</v>
      </c>
      <c r="BA19" s="251">
        <f>66742.9-4.3152</f>
        <v>66738.584799999997</v>
      </c>
      <c r="BB19" s="508">
        <v>3388775.5</v>
      </c>
      <c r="BC19" s="508">
        <f t="shared" ref="BC19:BC34" si="23">L19+BA19</f>
        <v>291407.68479999999</v>
      </c>
      <c r="BD19" s="508">
        <v>9096.2000000000007</v>
      </c>
      <c r="BE19" s="508">
        <v>35304.400000000001</v>
      </c>
      <c r="BF19" s="508">
        <v>5435.5</v>
      </c>
      <c r="BG19" s="508">
        <v>244329.3</v>
      </c>
      <c r="BH19" s="508">
        <f t="shared" ref="BH19:BH48" si="24">BG19+BF19+BE19+BD19</f>
        <v>294165.40000000002</v>
      </c>
      <c r="BI19" s="175" t="s">
        <v>606</v>
      </c>
      <c r="BJ19" s="281">
        <v>8.5299999999999994</v>
      </c>
      <c r="BK19" s="281">
        <v>-0.54</v>
      </c>
      <c r="BL19" s="281">
        <v>-0.19</v>
      </c>
      <c r="BM19" s="281">
        <v>1.02</v>
      </c>
      <c r="BN19" s="281">
        <v>2.27</v>
      </c>
      <c r="BO19" s="281" t="s">
        <v>306</v>
      </c>
      <c r="BP19" s="422">
        <v>3775</v>
      </c>
      <c r="BQ19" s="185">
        <v>1483</v>
      </c>
      <c r="BR19" s="185">
        <v>5269</v>
      </c>
      <c r="BS19" s="422">
        <v>65</v>
      </c>
      <c r="BT19" s="422">
        <v>10592</v>
      </c>
      <c r="BU19" s="281">
        <f t="shared" ref="BU19:BU25" si="25">AP19/AV19*100</f>
        <v>106.84657617626985</v>
      </c>
      <c r="BV19" s="281">
        <f>AV19/BT19</f>
        <v>120.73632930513595</v>
      </c>
      <c r="BW19" s="281">
        <f>AP19/BT19</f>
        <v>129.00263406344411</v>
      </c>
      <c r="BX19" s="281">
        <f t="shared" ref="BX19:BX25" si="26">(M19+BA19)/AV19*100</f>
        <v>6.2888191728874121</v>
      </c>
      <c r="BY19" s="281">
        <v>4</v>
      </c>
      <c r="BZ19" s="281">
        <v>5.0199999999999996</v>
      </c>
      <c r="CA19" s="281">
        <v>7.79</v>
      </c>
      <c r="CB19" s="281">
        <f t="shared" ref="CB19:CB48" si="27">CA19-BZ19</f>
        <v>2.7700000000000005</v>
      </c>
      <c r="CC19" s="281">
        <v>9.5</v>
      </c>
      <c r="CD19" s="281">
        <v>12.87</v>
      </c>
      <c r="CE19" s="281">
        <f t="shared" ref="CE19:CE48" si="28">CD19-CC19</f>
        <v>3.3699999999999992</v>
      </c>
    </row>
    <row r="20" spans="1:86" s="177" customFormat="1" ht="11.85" customHeight="1">
      <c r="A20" s="175"/>
      <c r="B20" s="175"/>
      <c r="C20" s="175"/>
      <c r="D20" s="175"/>
      <c r="E20" s="175"/>
      <c r="F20" s="175"/>
      <c r="G20" s="948"/>
      <c r="H20" s="948"/>
      <c r="I20" s="340" t="s">
        <v>607</v>
      </c>
      <c r="J20" s="503">
        <v>210318.5</v>
      </c>
      <c r="K20" s="503">
        <v>1541.6</v>
      </c>
      <c r="L20" s="503">
        <f t="shared" si="11"/>
        <v>211860.1</v>
      </c>
      <c r="M20" s="503">
        <v>17870.5</v>
      </c>
      <c r="N20" s="503">
        <f t="shared" si="12"/>
        <v>193989.6</v>
      </c>
      <c r="O20" s="503">
        <v>27376</v>
      </c>
      <c r="P20" s="503">
        <v>82499.399999999994</v>
      </c>
      <c r="Q20" s="503">
        <v>134527.4</v>
      </c>
      <c r="R20" s="503">
        <v>1086384.7</v>
      </c>
      <c r="S20" s="503">
        <f t="shared" si="13"/>
        <v>1220912.0999999999</v>
      </c>
      <c r="T20" s="503">
        <f t="shared" si="14"/>
        <v>1303411.4999999998</v>
      </c>
      <c r="U20" s="503">
        <v>510.6</v>
      </c>
      <c r="V20" s="503">
        <v>282021.69999999995</v>
      </c>
      <c r="W20" s="503">
        <f t="shared" si="15"/>
        <v>329027.59999999998</v>
      </c>
      <c r="X20" s="503">
        <f t="shared" si="16"/>
        <v>1415412.2999999998</v>
      </c>
      <c r="Y20" s="503">
        <v>1751526.5</v>
      </c>
      <c r="Z20" s="332" t="s">
        <v>607</v>
      </c>
      <c r="AA20" s="317">
        <v>0</v>
      </c>
      <c r="AB20" s="503">
        <v>25893.4</v>
      </c>
      <c r="AC20" s="503">
        <v>1055732.1000000001</v>
      </c>
      <c r="AD20" s="503">
        <f t="shared" si="17"/>
        <v>1081625.5</v>
      </c>
      <c r="AE20" s="317">
        <v>0</v>
      </c>
      <c r="AF20" s="503">
        <v>2072.6999999999998</v>
      </c>
      <c r="AG20" s="503">
        <v>21378.5</v>
      </c>
      <c r="AH20" s="503">
        <f t="shared" si="18"/>
        <v>23451.200000000001</v>
      </c>
      <c r="AI20" s="506">
        <v>25555.9</v>
      </c>
      <c r="AJ20" s="506">
        <v>260479.3</v>
      </c>
      <c r="AK20" s="506">
        <v>19522.2</v>
      </c>
      <c r="AL20" s="506">
        <f t="shared" si="19"/>
        <v>280001.5</v>
      </c>
      <c r="AM20" s="506">
        <f t="shared" si="20"/>
        <v>25555.9</v>
      </c>
      <c r="AN20" s="506">
        <f t="shared" si="20"/>
        <v>288445.39999999997</v>
      </c>
      <c r="AO20" s="506">
        <f t="shared" si="20"/>
        <v>1096632.8</v>
      </c>
      <c r="AP20" s="506">
        <f t="shared" si="20"/>
        <v>1385078.2</v>
      </c>
      <c r="AQ20" s="332" t="s">
        <v>607</v>
      </c>
      <c r="AR20" s="503">
        <v>12905.3</v>
      </c>
      <c r="AS20" s="503">
        <v>51771.199999999997</v>
      </c>
      <c r="AT20" s="503">
        <v>34900.699999999997</v>
      </c>
      <c r="AU20" s="503">
        <v>117.9</v>
      </c>
      <c r="AV20" s="503">
        <f>1303461.6-28.51</f>
        <v>1303433.0900000001</v>
      </c>
      <c r="AW20" s="503">
        <v>11122</v>
      </c>
      <c r="AX20" s="503">
        <f t="shared" si="21"/>
        <v>1314555.0900000001</v>
      </c>
      <c r="AY20" s="503">
        <f>0.04*1280047.8</f>
        <v>51201.912000000004</v>
      </c>
      <c r="AZ20" s="503">
        <f t="shared" si="22"/>
        <v>18445.088899999995</v>
      </c>
      <c r="BA20" s="316">
        <f>69651-3.9991</f>
        <v>69647.000899999999</v>
      </c>
      <c r="BB20" s="503">
        <v>3464093.4</v>
      </c>
      <c r="BC20" s="503">
        <f t="shared" si="23"/>
        <v>281507.10090000002</v>
      </c>
      <c r="BD20" s="503">
        <v>4126.8</v>
      </c>
      <c r="BE20" s="503">
        <v>32053.3</v>
      </c>
      <c r="BF20" s="503">
        <v>4762.3999999999996</v>
      </c>
      <c r="BG20" s="503">
        <v>256728.7</v>
      </c>
      <c r="BH20" s="503">
        <f t="shared" si="24"/>
        <v>297671.2</v>
      </c>
      <c r="BI20" s="332" t="s">
        <v>607</v>
      </c>
      <c r="BJ20" s="323">
        <v>7.75</v>
      </c>
      <c r="BK20" s="323">
        <v>1.1000000000000001</v>
      </c>
      <c r="BL20" s="323">
        <v>0.4</v>
      </c>
      <c r="BM20" s="323">
        <v>1.44</v>
      </c>
      <c r="BN20" s="323">
        <v>3.03</v>
      </c>
      <c r="BO20" s="323" t="s">
        <v>306</v>
      </c>
      <c r="BP20" s="324">
        <v>3775</v>
      </c>
      <c r="BQ20" s="1255">
        <v>1483</v>
      </c>
      <c r="BR20" s="1255">
        <v>5279</v>
      </c>
      <c r="BS20" s="324">
        <v>65</v>
      </c>
      <c r="BT20" s="324">
        <v>10602</v>
      </c>
      <c r="BU20" s="323">
        <f t="shared" si="25"/>
        <v>106.26385125760463</v>
      </c>
      <c r="BV20" s="323">
        <f t="shared" ref="BV20:BV30" si="29">AV20/BT20</f>
        <v>122.94218920958311</v>
      </c>
      <c r="BW20" s="323">
        <f t="shared" ref="BW20:BW30" si="30">AP20/BT20</f>
        <v>130.64310507451424</v>
      </c>
      <c r="BX20" s="323">
        <f t="shared" si="26"/>
        <v>6.7143838507276188</v>
      </c>
      <c r="BY20" s="323">
        <v>4</v>
      </c>
      <c r="BZ20" s="323">
        <v>4.95</v>
      </c>
      <c r="CA20" s="323">
        <v>7.82</v>
      </c>
      <c r="CB20" s="323">
        <f t="shared" si="27"/>
        <v>2.87</v>
      </c>
      <c r="CC20" s="323">
        <v>9.3699999999999992</v>
      </c>
      <c r="CD20" s="323">
        <v>12.86</v>
      </c>
      <c r="CE20" s="323">
        <f t="shared" si="28"/>
        <v>3.49</v>
      </c>
      <c r="CF20" s="1046"/>
      <c r="CG20" s="1046"/>
      <c r="CH20" s="1046"/>
    </row>
    <row r="21" spans="1:86" s="177" customFormat="1" ht="11.85" customHeight="1">
      <c r="A21" s="175"/>
      <c r="B21" s="175"/>
      <c r="C21" s="175"/>
      <c r="D21" s="175"/>
      <c r="E21" s="175"/>
      <c r="F21" s="175"/>
      <c r="G21" s="948"/>
      <c r="H21" s="948"/>
      <c r="I21" s="152" t="s">
        <v>601</v>
      </c>
      <c r="J21" s="508">
        <v>204033.4</v>
      </c>
      <c r="K21" s="508">
        <v>1543</v>
      </c>
      <c r="L21" s="508">
        <f t="shared" si="11"/>
        <v>205576.4</v>
      </c>
      <c r="M21" s="508">
        <v>16378.4</v>
      </c>
      <c r="N21" s="508">
        <f t="shared" si="12"/>
        <v>189198</v>
      </c>
      <c r="O21" s="508">
        <v>29271.200000000001</v>
      </c>
      <c r="P21" s="508">
        <v>86584.2</v>
      </c>
      <c r="Q21" s="508">
        <v>135788</v>
      </c>
      <c r="R21" s="508">
        <v>1100659.5</v>
      </c>
      <c r="S21" s="508">
        <f t="shared" si="13"/>
        <v>1236447.5</v>
      </c>
      <c r="T21" s="508">
        <f t="shared" si="14"/>
        <v>1323031.7</v>
      </c>
      <c r="U21" s="508">
        <v>559</v>
      </c>
      <c r="V21" s="508">
        <v>280821.59999999998</v>
      </c>
      <c r="W21" s="508">
        <f t="shared" si="15"/>
        <v>325545</v>
      </c>
      <c r="X21" s="508">
        <f t="shared" si="16"/>
        <v>1426204.5</v>
      </c>
      <c r="Y21" s="508">
        <v>1766761.2</v>
      </c>
      <c r="Z21" s="175" t="s">
        <v>601</v>
      </c>
      <c r="AA21" s="252">
        <v>0</v>
      </c>
      <c r="AB21" s="508">
        <v>25962.5</v>
      </c>
      <c r="AC21" s="508">
        <v>1066636.1000000001</v>
      </c>
      <c r="AD21" s="508">
        <f t="shared" si="17"/>
        <v>1092598.6000000001</v>
      </c>
      <c r="AE21" s="252">
        <v>0</v>
      </c>
      <c r="AF21" s="508">
        <v>2027.5</v>
      </c>
      <c r="AG21" s="508">
        <v>21766.3</v>
      </c>
      <c r="AH21" s="508">
        <f t="shared" si="18"/>
        <v>23793.8</v>
      </c>
      <c r="AI21" s="521">
        <v>25583.1</v>
      </c>
      <c r="AJ21" s="521">
        <v>267947.90000000002</v>
      </c>
      <c r="AK21" s="521">
        <v>19640.599999999999</v>
      </c>
      <c r="AL21" s="521">
        <f t="shared" si="19"/>
        <v>287588.5</v>
      </c>
      <c r="AM21" s="521">
        <f t="shared" si="20"/>
        <v>25583.1</v>
      </c>
      <c r="AN21" s="521">
        <f t="shared" si="20"/>
        <v>295937.90000000002</v>
      </c>
      <c r="AO21" s="521">
        <f t="shared" si="20"/>
        <v>1108043.0000000002</v>
      </c>
      <c r="AP21" s="521">
        <f t="shared" si="20"/>
        <v>1403980.9000000001</v>
      </c>
      <c r="AQ21" s="175" t="s">
        <v>601</v>
      </c>
      <c r="AR21" s="508">
        <v>11229.6</v>
      </c>
      <c r="AS21" s="508">
        <v>54460.7</v>
      </c>
      <c r="AT21" s="508">
        <v>30658.1</v>
      </c>
      <c r="AU21" s="508">
        <v>79.8</v>
      </c>
      <c r="AV21" s="508">
        <f>1323081.9-29.44</f>
        <v>1323052.46</v>
      </c>
      <c r="AW21" s="508">
        <v>9230.2999999999993</v>
      </c>
      <c r="AX21" s="508">
        <f t="shared" si="21"/>
        <v>1332282.76</v>
      </c>
      <c r="AY21" s="508">
        <f>0.04*AX19</f>
        <v>51622.083999999995</v>
      </c>
      <c r="AZ21" s="508">
        <f t="shared" si="22"/>
        <v>23060.964</v>
      </c>
      <c r="BA21" s="251">
        <f>74686.2-3.152</f>
        <v>74683.047999999995</v>
      </c>
      <c r="BB21" s="508">
        <v>3520630.9</v>
      </c>
      <c r="BC21" s="508">
        <f t="shared" si="23"/>
        <v>280259.44799999997</v>
      </c>
      <c r="BD21" s="508">
        <v>4126.8</v>
      </c>
      <c r="BE21" s="508">
        <v>29407.4</v>
      </c>
      <c r="BF21" s="508">
        <v>4947.7</v>
      </c>
      <c r="BG21" s="508">
        <v>264196.8</v>
      </c>
      <c r="BH21" s="508">
        <f t="shared" si="24"/>
        <v>302678.7</v>
      </c>
      <c r="BI21" s="175" t="s">
        <v>601</v>
      </c>
      <c r="BJ21" s="281">
        <v>5.16</v>
      </c>
      <c r="BK21" s="281">
        <v>0.56000000000000005</v>
      </c>
      <c r="BL21" s="281">
        <v>1.44</v>
      </c>
      <c r="BM21" s="281">
        <v>1.94</v>
      </c>
      <c r="BN21" s="281">
        <v>3.82</v>
      </c>
      <c r="BO21" s="281" t="s">
        <v>306</v>
      </c>
      <c r="BP21" s="422">
        <v>3775</v>
      </c>
      <c r="BQ21" s="185">
        <v>1483</v>
      </c>
      <c r="BR21" s="185">
        <v>5282</v>
      </c>
      <c r="BS21" s="422">
        <v>67</v>
      </c>
      <c r="BT21" s="422">
        <v>10607</v>
      </c>
      <c r="BU21" s="281">
        <f t="shared" si="25"/>
        <v>106.11679751534571</v>
      </c>
      <c r="BV21" s="281">
        <f t="shared" si="29"/>
        <v>124.73389836900159</v>
      </c>
      <c r="BW21" s="281">
        <f t="shared" si="30"/>
        <v>132.36361836523051</v>
      </c>
      <c r="BX21" s="281">
        <f t="shared" si="26"/>
        <v>6.8826785598509064</v>
      </c>
      <c r="BY21" s="281">
        <v>4</v>
      </c>
      <c r="BZ21" s="281">
        <v>4.79</v>
      </c>
      <c r="CA21" s="281">
        <v>7.79</v>
      </c>
      <c r="CB21" s="281">
        <f t="shared" si="27"/>
        <v>3</v>
      </c>
      <c r="CC21" s="281">
        <v>9.2200000000000006</v>
      </c>
      <c r="CD21" s="281">
        <v>12.62</v>
      </c>
      <c r="CE21" s="281">
        <f t="shared" si="28"/>
        <v>3.3999999999999986</v>
      </c>
    </row>
    <row r="22" spans="1:86" s="177" customFormat="1" ht="11.85" customHeight="1">
      <c r="A22" s="175"/>
      <c r="B22" s="175"/>
      <c r="C22" s="175"/>
      <c r="D22" s="175"/>
      <c r="E22" s="175"/>
      <c r="F22" s="175"/>
      <c r="G22" s="948"/>
      <c r="H22" s="948"/>
      <c r="I22" s="340" t="s">
        <v>608</v>
      </c>
      <c r="J22" s="503">
        <v>202262.3</v>
      </c>
      <c r="K22" s="503">
        <v>1544.6</v>
      </c>
      <c r="L22" s="503">
        <f t="shared" si="11"/>
        <v>203806.9</v>
      </c>
      <c r="M22" s="503">
        <v>15750.7</v>
      </c>
      <c r="N22" s="503">
        <f t="shared" si="12"/>
        <v>188056.19999999998</v>
      </c>
      <c r="O22" s="503">
        <v>29589</v>
      </c>
      <c r="P22" s="503">
        <v>88260.3</v>
      </c>
      <c r="Q22" s="503">
        <v>134026.29999999999</v>
      </c>
      <c r="R22" s="503">
        <v>1117093.8</v>
      </c>
      <c r="S22" s="503">
        <f t="shared" si="13"/>
        <v>1251120.1000000001</v>
      </c>
      <c r="T22" s="503">
        <f t="shared" si="14"/>
        <v>1339380.4000000001</v>
      </c>
      <c r="U22" s="503">
        <v>551.70000000000005</v>
      </c>
      <c r="V22" s="503">
        <v>289171.7</v>
      </c>
      <c r="W22" s="503">
        <f t="shared" si="15"/>
        <v>322634.2</v>
      </c>
      <c r="X22" s="503">
        <f t="shared" si="16"/>
        <v>1439728</v>
      </c>
      <c r="Y22" s="503">
        <v>1784098.5</v>
      </c>
      <c r="Z22" s="332" t="s">
        <v>608</v>
      </c>
      <c r="AA22" s="317">
        <v>0</v>
      </c>
      <c r="AB22" s="503">
        <v>26049.9</v>
      </c>
      <c r="AC22" s="503">
        <v>1068268.2</v>
      </c>
      <c r="AD22" s="503">
        <f t="shared" si="17"/>
        <v>1094318.0999999999</v>
      </c>
      <c r="AE22" s="317">
        <v>0</v>
      </c>
      <c r="AF22" s="503">
        <v>1995.8</v>
      </c>
      <c r="AG22" s="503">
        <v>21072.7</v>
      </c>
      <c r="AH22" s="503">
        <f t="shared" si="18"/>
        <v>23068.5</v>
      </c>
      <c r="AI22" s="506">
        <v>25949</v>
      </c>
      <c r="AJ22" s="506">
        <v>270927.3</v>
      </c>
      <c r="AK22" s="506">
        <v>19896.400000000001</v>
      </c>
      <c r="AL22" s="506">
        <f t="shared" si="19"/>
        <v>290823.7</v>
      </c>
      <c r="AM22" s="506">
        <f t="shared" si="20"/>
        <v>25949</v>
      </c>
      <c r="AN22" s="506">
        <f t="shared" si="20"/>
        <v>298973</v>
      </c>
      <c r="AO22" s="506">
        <f t="shared" si="20"/>
        <v>1109237.2999999998</v>
      </c>
      <c r="AP22" s="506">
        <f t="shared" si="20"/>
        <v>1408210.2999999998</v>
      </c>
      <c r="AQ22" s="332" t="s">
        <v>608</v>
      </c>
      <c r="AR22" s="503">
        <v>10282.799999999999</v>
      </c>
      <c r="AS22" s="503">
        <v>56386.9</v>
      </c>
      <c r="AT22" s="503">
        <v>31731.8</v>
      </c>
      <c r="AU22" s="503">
        <v>5.8</v>
      </c>
      <c r="AV22" s="503">
        <f>1339430.5-30.36</f>
        <v>1339400.1399999999</v>
      </c>
      <c r="AW22" s="503">
        <v>11251.2</v>
      </c>
      <c r="AX22" s="503">
        <f t="shared" si="21"/>
        <v>1350651.3399999999</v>
      </c>
      <c r="AY22" s="503">
        <f t="shared" ref="AY22:AY28" si="31">0.04*AX20</f>
        <v>52582.203600000008</v>
      </c>
      <c r="AZ22" s="503">
        <f t="shared" si="22"/>
        <v>32228.857099999994</v>
      </c>
      <c r="BA22" s="316">
        <f>84813.1-2.0393</f>
        <v>84811.060700000002</v>
      </c>
      <c r="BB22" s="503">
        <v>3589034.8</v>
      </c>
      <c r="BC22" s="503">
        <f t="shared" si="23"/>
        <v>288617.9607</v>
      </c>
      <c r="BD22" s="503">
        <v>4126.8</v>
      </c>
      <c r="BE22" s="503">
        <v>30357.8</v>
      </c>
      <c r="BF22" s="503">
        <v>4665.6000000000004</v>
      </c>
      <c r="BG22" s="503">
        <v>267163.7</v>
      </c>
      <c r="BH22" s="503">
        <f t="shared" si="24"/>
        <v>306313.89999999997</v>
      </c>
      <c r="BI22" s="332" t="s">
        <v>608</v>
      </c>
      <c r="BJ22" s="323">
        <v>5.77</v>
      </c>
      <c r="BK22" s="323">
        <v>2.88</v>
      </c>
      <c r="BL22" s="323">
        <v>1.55</v>
      </c>
      <c r="BM22" s="323">
        <v>2.17</v>
      </c>
      <c r="BN22" s="323">
        <v>4.8</v>
      </c>
      <c r="BO22" s="323" t="s">
        <v>306</v>
      </c>
      <c r="BP22" s="324">
        <v>3776</v>
      </c>
      <c r="BQ22" s="1255">
        <v>1483</v>
      </c>
      <c r="BR22" s="1255">
        <v>5295</v>
      </c>
      <c r="BS22" s="324">
        <v>67</v>
      </c>
      <c r="BT22" s="324">
        <v>10621</v>
      </c>
      <c r="BU22" s="323">
        <f t="shared" si="25"/>
        <v>105.13738635266978</v>
      </c>
      <c r="BV22" s="323">
        <f t="shared" si="29"/>
        <v>126.10866585067319</v>
      </c>
      <c r="BW22" s="323">
        <f t="shared" si="30"/>
        <v>132.5873552396196</v>
      </c>
      <c r="BX22" s="323">
        <f t="shared" si="26"/>
        <v>7.5079700006601469</v>
      </c>
      <c r="BY22" s="323">
        <v>4</v>
      </c>
      <c r="BZ22" s="323">
        <v>4.7300000000000004</v>
      </c>
      <c r="CA22" s="323">
        <v>7.67</v>
      </c>
      <c r="CB22" s="323">
        <f t="shared" si="27"/>
        <v>2.9399999999999995</v>
      </c>
      <c r="CC22" s="323">
        <v>9.1199999999999992</v>
      </c>
      <c r="CD22" s="323">
        <v>12.37</v>
      </c>
      <c r="CE22" s="323">
        <f t="shared" si="28"/>
        <v>3.25</v>
      </c>
    </row>
    <row r="23" spans="1:86" s="177" customFormat="1" ht="11.85" customHeight="1">
      <c r="A23" s="175"/>
      <c r="B23" s="175"/>
      <c r="C23" s="175"/>
      <c r="D23" s="175"/>
      <c r="E23" s="175"/>
      <c r="F23" s="175"/>
      <c r="G23" s="948"/>
      <c r="H23" s="948"/>
      <c r="I23" s="152" t="s">
        <v>609</v>
      </c>
      <c r="J23" s="508">
        <v>200463.5</v>
      </c>
      <c r="K23" s="508">
        <v>1544.5</v>
      </c>
      <c r="L23" s="508">
        <f t="shared" si="11"/>
        <v>202008</v>
      </c>
      <c r="M23" s="508">
        <v>16571.099999999999</v>
      </c>
      <c r="N23" s="508">
        <f t="shared" si="12"/>
        <v>185436.9</v>
      </c>
      <c r="O23" s="508">
        <v>32044.7</v>
      </c>
      <c r="P23" s="508">
        <v>89278.3</v>
      </c>
      <c r="Q23" s="508">
        <v>140119</v>
      </c>
      <c r="R23" s="508">
        <v>1127882.5</v>
      </c>
      <c r="S23" s="508">
        <f t="shared" si="13"/>
        <v>1268001.5</v>
      </c>
      <c r="T23" s="508">
        <f t="shared" si="14"/>
        <v>1357279.8</v>
      </c>
      <c r="U23" s="508">
        <v>521.70000000000005</v>
      </c>
      <c r="V23" s="508">
        <v>297095.60000000003</v>
      </c>
      <c r="W23" s="508">
        <f t="shared" si="15"/>
        <v>326077.60000000003</v>
      </c>
      <c r="X23" s="508">
        <f t="shared" si="16"/>
        <v>1453960.1</v>
      </c>
      <c r="Y23" s="508">
        <v>1800909.9000000001</v>
      </c>
      <c r="Z23" s="175" t="s">
        <v>609</v>
      </c>
      <c r="AA23" s="252">
        <v>0</v>
      </c>
      <c r="AB23" s="508">
        <v>26584.9</v>
      </c>
      <c r="AC23" s="508">
        <v>1074998.1000000001</v>
      </c>
      <c r="AD23" s="508">
        <f t="shared" si="17"/>
        <v>1101583</v>
      </c>
      <c r="AE23" s="252">
        <v>0</v>
      </c>
      <c r="AF23" s="508">
        <v>1978.4</v>
      </c>
      <c r="AG23" s="508">
        <v>20826.7</v>
      </c>
      <c r="AH23" s="508">
        <f t="shared" si="18"/>
        <v>22805.100000000002</v>
      </c>
      <c r="AI23" s="521">
        <v>26148.400000000001</v>
      </c>
      <c r="AJ23" s="521">
        <v>274568.7</v>
      </c>
      <c r="AK23" s="521">
        <v>20029.8</v>
      </c>
      <c r="AL23" s="521">
        <f t="shared" si="19"/>
        <v>294598.5</v>
      </c>
      <c r="AM23" s="521">
        <f t="shared" si="20"/>
        <v>26148.400000000001</v>
      </c>
      <c r="AN23" s="521">
        <f t="shared" si="20"/>
        <v>303132</v>
      </c>
      <c r="AO23" s="521">
        <f t="shared" si="20"/>
        <v>1115854.6000000001</v>
      </c>
      <c r="AP23" s="521">
        <f t="shared" si="20"/>
        <v>1418986.6</v>
      </c>
      <c r="AQ23" s="175" t="s">
        <v>609</v>
      </c>
      <c r="AR23" s="508">
        <v>9550.1</v>
      </c>
      <c r="AS23" s="508">
        <v>58082</v>
      </c>
      <c r="AT23" s="508">
        <v>32466.3</v>
      </c>
      <c r="AU23" s="508">
        <v>9.5</v>
      </c>
      <c r="AV23" s="508">
        <f>1357330.1-30.5</f>
        <v>1357299.6</v>
      </c>
      <c r="AW23" s="508">
        <v>9556.1</v>
      </c>
      <c r="AX23" s="508">
        <f t="shared" si="21"/>
        <v>1366855.7000000002</v>
      </c>
      <c r="AY23" s="508">
        <f t="shared" si="31"/>
        <v>53291.310400000002</v>
      </c>
      <c r="AZ23" s="508">
        <f t="shared" si="22"/>
        <v>41271.343599999993</v>
      </c>
      <c r="BA23" s="251">
        <f>94565.9-3.246</f>
        <v>94562.653999999995</v>
      </c>
      <c r="BB23" s="508">
        <v>3658686.4</v>
      </c>
      <c r="BC23" s="508">
        <f t="shared" si="23"/>
        <v>296570.65399999998</v>
      </c>
      <c r="BD23" s="508">
        <v>4126.8</v>
      </c>
      <c r="BE23" s="508">
        <v>29047.599999999999</v>
      </c>
      <c r="BF23" s="508">
        <v>4562.3</v>
      </c>
      <c r="BG23" s="508">
        <v>270802.2</v>
      </c>
      <c r="BH23" s="508">
        <f t="shared" si="24"/>
        <v>308538.89999999997</v>
      </c>
      <c r="BI23" s="175" t="s">
        <v>609</v>
      </c>
      <c r="BJ23" s="281">
        <v>6.62</v>
      </c>
      <c r="BK23" s="281">
        <v>4.88</v>
      </c>
      <c r="BL23" s="281">
        <v>2.15</v>
      </c>
      <c r="BM23" s="281">
        <v>2.83</v>
      </c>
      <c r="BN23" s="281">
        <v>5.84</v>
      </c>
      <c r="BO23" s="281" t="s">
        <v>306</v>
      </c>
      <c r="BP23" s="422">
        <v>3777</v>
      </c>
      <c r="BQ23" s="185">
        <v>1483</v>
      </c>
      <c r="BR23" s="185">
        <v>5301</v>
      </c>
      <c r="BS23" s="422">
        <v>67</v>
      </c>
      <c r="BT23" s="422">
        <v>10628</v>
      </c>
      <c r="BU23" s="281">
        <f t="shared" si="25"/>
        <v>104.54483299044661</v>
      </c>
      <c r="BV23" s="281">
        <f t="shared" si="29"/>
        <v>127.70978547233723</v>
      </c>
      <c r="BW23" s="281">
        <f t="shared" si="30"/>
        <v>133.51398193451263</v>
      </c>
      <c r="BX23" s="281">
        <f t="shared" si="26"/>
        <v>8.1878572718948703</v>
      </c>
      <c r="BY23" s="281">
        <v>4</v>
      </c>
      <c r="BZ23" s="281">
        <v>4.6399999999999997</v>
      </c>
      <c r="CA23" s="281">
        <v>7.62</v>
      </c>
      <c r="CB23" s="281">
        <f t="shared" si="27"/>
        <v>2.9800000000000004</v>
      </c>
      <c r="CC23" s="281">
        <v>8.91</v>
      </c>
      <c r="CD23" s="281">
        <v>12.26</v>
      </c>
      <c r="CE23" s="281">
        <f t="shared" si="28"/>
        <v>3.3499999999999996</v>
      </c>
    </row>
    <row r="24" spans="1:86" s="177" customFormat="1" ht="11.85" customHeight="1">
      <c r="A24" s="175"/>
      <c r="B24" s="175"/>
      <c r="C24" s="175"/>
      <c r="D24" s="175"/>
      <c r="E24" s="175"/>
      <c r="F24" s="175"/>
      <c r="G24" s="948"/>
      <c r="H24" s="948"/>
      <c r="I24" s="639" t="s">
        <v>602</v>
      </c>
      <c r="J24" s="503">
        <v>201526</v>
      </c>
      <c r="K24" s="503">
        <v>1544.1</v>
      </c>
      <c r="L24" s="503">
        <f t="shared" si="11"/>
        <v>203070.1</v>
      </c>
      <c r="M24" s="503">
        <v>15607.2</v>
      </c>
      <c r="N24" s="503">
        <f t="shared" si="12"/>
        <v>187462.9</v>
      </c>
      <c r="O24" s="503">
        <v>35460.699999999997</v>
      </c>
      <c r="P24" s="503">
        <v>92145</v>
      </c>
      <c r="Q24" s="503">
        <v>148172.20000000001</v>
      </c>
      <c r="R24" s="503">
        <v>1142300.2</v>
      </c>
      <c r="S24" s="503">
        <f t="shared" si="13"/>
        <v>1290472.3999999999</v>
      </c>
      <c r="T24" s="503">
        <f t="shared" si="14"/>
        <v>1382617.4</v>
      </c>
      <c r="U24" s="503">
        <v>749.2</v>
      </c>
      <c r="V24" s="503">
        <v>304054.3</v>
      </c>
      <c r="W24" s="503">
        <f t="shared" si="15"/>
        <v>336384.3</v>
      </c>
      <c r="X24" s="503">
        <f t="shared" si="16"/>
        <v>1478684.5</v>
      </c>
      <c r="Y24" s="503">
        <v>1829393.9999999998</v>
      </c>
      <c r="Z24" s="332" t="s">
        <v>602</v>
      </c>
      <c r="AA24" s="317">
        <v>0</v>
      </c>
      <c r="AB24" s="503">
        <v>27168.799999999999</v>
      </c>
      <c r="AC24" s="503">
        <v>1095674.5</v>
      </c>
      <c r="AD24" s="503">
        <f t="shared" si="17"/>
        <v>1122843.3</v>
      </c>
      <c r="AE24" s="317">
        <v>0</v>
      </c>
      <c r="AF24" s="503">
        <v>1871.5</v>
      </c>
      <c r="AG24" s="503">
        <v>20192.5</v>
      </c>
      <c r="AH24" s="503">
        <f t="shared" si="18"/>
        <v>22064</v>
      </c>
      <c r="AI24" s="506">
        <v>28568.400000000001</v>
      </c>
      <c r="AJ24" s="506">
        <v>283526.5</v>
      </c>
      <c r="AK24" s="506">
        <v>20106.900000000001</v>
      </c>
      <c r="AL24" s="506">
        <f t="shared" si="19"/>
        <v>303633.40000000002</v>
      </c>
      <c r="AM24" s="506">
        <f t="shared" si="20"/>
        <v>28568.400000000001</v>
      </c>
      <c r="AN24" s="506">
        <f t="shared" si="20"/>
        <v>312566.8</v>
      </c>
      <c r="AO24" s="506">
        <f t="shared" si="20"/>
        <v>1135973.8999999999</v>
      </c>
      <c r="AP24" s="506">
        <f t="shared" si="20"/>
        <v>1448540.7000000002</v>
      </c>
      <c r="AQ24" s="332" t="s">
        <v>602</v>
      </c>
      <c r="AR24" s="503">
        <v>9061.2999999999993</v>
      </c>
      <c r="AS24" s="503">
        <v>60007.1</v>
      </c>
      <c r="AT24" s="503">
        <v>32131.9</v>
      </c>
      <c r="AU24" s="503">
        <v>239.3</v>
      </c>
      <c r="AV24" s="503">
        <f>1382667.8-31.66</f>
        <v>1382636.1400000001</v>
      </c>
      <c r="AW24" s="503">
        <v>9568.2999999999993</v>
      </c>
      <c r="AX24" s="503">
        <f t="shared" si="21"/>
        <v>1392204.4400000002</v>
      </c>
      <c r="AY24" s="503">
        <f t="shared" si="31"/>
        <v>54026.053599999992</v>
      </c>
      <c r="AZ24" s="503">
        <f t="shared" si="22"/>
        <v>46205.053700000011</v>
      </c>
      <c r="BA24" s="316">
        <f>100235-3.8927</f>
        <v>100231.1073</v>
      </c>
      <c r="BB24" s="503">
        <v>3494909</v>
      </c>
      <c r="BC24" s="503">
        <f t="shared" si="23"/>
        <v>303301.20730000001</v>
      </c>
      <c r="BD24" s="503">
        <v>4126.8</v>
      </c>
      <c r="BE24" s="503">
        <v>27028.5</v>
      </c>
      <c r="BF24" s="503">
        <v>4715.3</v>
      </c>
      <c r="BG24" s="503">
        <v>279694.59999999998</v>
      </c>
      <c r="BH24" s="503">
        <f t="shared" si="24"/>
        <v>315565.19999999995</v>
      </c>
      <c r="BI24" s="332" t="s">
        <v>602</v>
      </c>
      <c r="BJ24" s="323">
        <v>5.59</v>
      </c>
      <c r="BK24" s="323">
        <v>6.07</v>
      </c>
      <c r="BL24" s="323">
        <v>4.01</v>
      </c>
      <c r="BM24" s="323">
        <v>4.28</v>
      </c>
      <c r="BN24" s="323">
        <v>7.64</v>
      </c>
      <c r="BO24" s="323" t="s">
        <v>306</v>
      </c>
      <c r="BP24" s="324">
        <v>3798</v>
      </c>
      <c r="BQ24" s="1255">
        <v>1492</v>
      </c>
      <c r="BR24" s="1255">
        <v>5395</v>
      </c>
      <c r="BS24" s="324">
        <v>67</v>
      </c>
      <c r="BT24" s="324">
        <v>10752</v>
      </c>
      <c r="BU24" s="323">
        <f t="shared" si="25"/>
        <v>104.76658739731771</v>
      </c>
      <c r="BV24" s="323">
        <f t="shared" si="29"/>
        <v>128.59339099702382</v>
      </c>
      <c r="BW24" s="323">
        <f t="shared" si="30"/>
        <v>134.72290736607144</v>
      </c>
      <c r="BX24" s="323">
        <f t="shared" si="26"/>
        <v>8.3780760497118205</v>
      </c>
      <c r="BY24" s="323">
        <v>4</v>
      </c>
      <c r="BZ24" s="323">
        <v>4.54</v>
      </c>
      <c r="CA24" s="323">
        <v>7.61</v>
      </c>
      <c r="CB24" s="323">
        <f t="shared" si="27"/>
        <v>3.0700000000000003</v>
      </c>
      <c r="CC24" s="323">
        <v>8.69</v>
      </c>
      <c r="CD24" s="323">
        <v>12.04</v>
      </c>
      <c r="CE24" s="323">
        <f t="shared" si="28"/>
        <v>3.3499999999999996</v>
      </c>
    </row>
    <row r="25" spans="1:86" s="177" customFormat="1" ht="11.85" customHeight="1">
      <c r="A25" s="175"/>
      <c r="B25" s="175"/>
      <c r="C25" s="175"/>
      <c r="D25" s="175"/>
      <c r="E25" s="175"/>
      <c r="F25" s="175"/>
      <c r="G25" s="948"/>
      <c r="H25" s="948"/>
      <c r="I25" s="263" t="s">
        <v>610</v>
      </c>
      <c r="J25" s="508">
        <v>201812.7</v>
      </c>
      <c r="K25" s="508">
        <v>1546.5</v>
      </c>
      <c r="L25" s="508">
        <f t="shared" si="11"/>
        <v>203359.2</v>
      </c>
      <c r="M25" s="508">
        <v>17617.3</v>
      </c>
      <c r="N25" s="508">
        <f t="shared" si="12"/>
        <v>185741.90000000002</v>
      </c>
      <c r="O25" s="508">
        <v>33786</v>
      </c>
      <c r="P25" s="508">
        <v>92533.6</v>
      </c>
      <c r="Q25" s="508">
        <v>142076.1</v>
      </c>
      <c r="R25" s="508">
        <v>1144125.1000000001</v>
      </c>
      <c r="S25" s="508">
        <f t="shared" si="13"/>
        <v>1286201.2000000002</v>
      </c>
      <c r="T25" s="508">
        <f t="shared" si="14"/>
        <v>1378734.8000000003</v>
      </c>
      <c r="U25" s="508">
        <v>527.79999999999995</v>
      </c>
      <c r="V25" s="508">
        <v>301225.2</v>
      </c>
      <c r="W25" s="508">
        <f t="shared" si="15"/>
        <v>328345.8</v>
      </c>
      <c r="X25" s="508">
        <f t="shared" si="16"/>
        <v>1472470.9000000001</v>
      </c>
      <c r="Y25" s="508">
        <v>1827481.8000000003</v>
      </c>
      <c r="Z25" s="175" t="s">
        <v>610</v>
      </c>
      <c r="AA25" s="252">
        <v>0</v>
      </c>
      <c r="AB25" s="508">
        <v>27189.5</v>
      </c>
      <c r="AC25" s="508">
        <v>1093932.8999999999</v>
      </c>
      <c r="AD25" s="508">
        <f t="shared" si="17"/>
        <v>1121122.3999999999</v>
      </c>
      <c r="AE25" s="252">
        <v>0</v>
      </c>
      <c r="AF25" s="508">
        <v>1819</v>
      </c>
      <c r="AG25" s="508">
        <v>20363.2</v>
      </c>
      <c r="AH25" s="508">
        <f t="shared" si="18"/>
        <v>22182.2</v>
      </c>
      <c r="AI25" s="521">
        <v>28560.1</v>
      </c>
      <c r="AJ25" s="521">
        <v>284550.8</v>
      </c>
      <c r="AK25" s="521">
        <v>20364.099999999999</v>
      </c>
      <c r="AL25" s="521">
        <f t="shared" si="19"/>
        <v>304914.89999999997</v>
      </c>
      <c r="AM25" s="521">
        <f t="shared" si="20"/>
        <v>28560.1</v>
      </c>
      <c r="AN25" s="521">
        <f t="shared" si="20"/>
        <v>313559.3</v>
      </c>
      <c r="AO25" s="521">
        <f t="shared" si="20"/>
        <v>1134660.2</v>
      </c>
      <c r="AP25" s="521">
        <f t="shared" si="20"/>
        <v>1448219.4999999998</v>
      </c>
      <c r="AQ25" s="175" t="s">
        <v>610</v>
      </c>
      <c r="AR25" s="508">
        <v>8229.2999999999993</v>
      </c>
      <c r="AS25" s="508">
        <v>60862.2</v>
      </c>
      <c r="AT25" s="508">
        <v>35315</v>
      </c>
      <c r="AU25" s="508">
        <v>18.5</v>
      </c>
      <c r="AV25" s="508">
        <f>1378785.1-30.06</f>
        <v>1378755.04</v>
      </c>
      <c r="AW25" s="508">
        <v>10076.5</v>
      </c>
      <c r="AX25" s="508">
        <f t="shared" si="21"/>
        <v>1388831.54</v>
      </c>
      <c r="AY25" s="508">
        <f t="shared" si="31"/>
        <v>54674.22800000001</v>
      </c>
      <c r="AZ25" s="508">
        <f t="shared" si="22"/>
        <v>42662.268899999988</v>
      </c>
      <c r="BA25" s="251">
        <f>97338.2-1.7031</f>
        <v>97336.496899999998</v>
      </c>
      <c r="BB25" s="508">
        <v>3537403.7</v>
      </c>
      <c r="BC25" s="508">
        <f t="shared" si="23"/>
        <v>300695.69689999998</v>
      </c>
      <c r="BD25" s="508">
        <v>4126.8</v>
      </c>
      <c r="BE25" s="508">
        <v>32332.9</v>
      </c>
      <c r="BF25" s="508">
        <v>4956.2</v>
      </c>
      <c r="BG25" s="508">
        <v>280740.3</v>
      </c>
      <c r="BH25" s="508">
        <f t="shared" si="24"/>
        <v>322156.2</v>
      </c>
      <c r="BI25" s="175" t="s">
        <v>610</v>
      </c>
      <c r="BJ25" s="281">
        <v>5.64</v>
      </c>
      <c r="BK25" s="281">
        <v>6.25</v>
      </c>
      <c r="BL25" s="281">
        <v>3.9</v>
      </c>
      <c r="BM25" s="281">
        <v>4.1900000000000004</v>
      </c>
      <c r="BN25" s="281">
        <v>7.19</v>
      </c>
      <c r="BO25" s="281" t="s">
        <v>306</v>
      </c>
      <c r="BP25" s="422">
        <v>3798</v>
      </c>
      <c r="BQ25" s="29">
        <v>1492</v>
      </c>
      <c r="BR25" s="29">
        <v>5395</v>
      </c>
      <c r="BS25" s="422">
        <v>67</v>
      </c>
      <c r="BT25" s="422">
        <v>10752</v>
      </c>
      <c r="BU25" s="281">
        <f t="shared" si="25"/>
        <v>105.03820170985556</v>
      </c>
      <c r="BV25" s="281">
        <f t="shared" si="29"/>
        <v>128.23242559523811</v>
      </c>
      <c r="BW25" s="281">
        <f t="shared" si="30"/>
        <v>134.69303385416666</v>
      </c>
      <c r="BX25" s="281">
        <f t="shared" si="26"/>
        <v>8.3375069221868454</v>
      </c>
      <c r="BY25" s="281">
        <v>4</v>
      </c>
      <c r="BZ25" s="281">
        <v>4.51</v>
      </c>
      <c r="CA25" s="281">
        <v>7.56</v>
      </c>
      <c r="CB25" s="281">
        <f t="shared" si="27"/>
        <v>3.05</v>
      </c>
      <c r="CC25" s="281">
        <v>8.48</v>
      </c>
      <c r="CD25" s="281">
        <v>11.86</v>
      </c>
      <c r="CE25" s="281">
        <f t="shared" si="28"/>
        <v>3.379999999999999</v>
      </c>
    </row>
    <row r="26" spans="1:86" s="177" customFormat="1" ht="11.85" customHeight="1">
      <c r="A26" s="175"/>
      <c r="B26" s="175"/>
      <c r="C26" s="175"/>
      <c r="D26" s="175"/>
      <c r="E26" s="175"/>
      <c r="F26" s="175"/>
      <c r="G26" s="175"/>
      <c r="H26" s="175"/>
      <c r="I26" s="332" t="s">
        <v>611</v>
      </c>
      <c r="J26" s="503">
        <v>201832.9</v>
      </c>
      <c r="K26" s="503">
        <v>1548.9</v>
      </c>
      <c r="L26" s="503">
        <f t="shared" si="11"/>
        <v>203381.8</v>
      </c>
      <c r="M26" s="503">
        <v>18049</v>
      </c>
      <c r="N26" s="503">
        <f t="shared" si="12"/>
        <v>185332.8</v>
      </c>
      <c r="O26" s="503">
        <v>35517</v>
      </c>
      <c r="P26" s="503">
        <v>91772.1</v>
      </c>
      <c r="Q26" s="503">
        <v>144658.4</v>
      </c>
      <c r="R26" s="503">
        <v>1150383.2</v>
      </c>
      <c r="S26" s="503">
        <f t="shared" si="13"/>
        <v>1295041.5999999999</v>
      </c>
      <c r="T26" s="503">
        <f t="shared" si="14"/>
        <v>1386813.7</v>
      </c>
      <c r="U26" s="503">
        <v>558.70000000000005</v>
      </c>
      <c r="V26" s="503">
        <v>300493.39999999997</v>
      </c>
      <c r="W26" s="503">
        <f t="shared" si="15"/>
        <v>330549.89999999997</v>
      </c>
      <c r="X26" s="503">
        <f t="shared" si="16"/>
        <v>1480933.0999999999</v>
      </c>
      <c r="Y26" s="503">
        <v>1839453.9</v>
      </c>
      <c r="Z26" s="332" t="s">
        <v>611</v>
      </c>
      <c r="AA26" s="317">
        <v>0</v>
      </c>
      <c r="AB26" s="503">
        <v>27781.8</v>
      </c>
      <c r="AC26" s="503">
        <v>1105631.6000000001</v>
      </c>
      <c r="AD26" s="503">
        <f t="shared" si="17"/>
        <v>1133413.4000000001</v>
      </c>
      <c r="AE26" s="317">
        <v>0</v>
      </c>
      <c r="AF26" s="503">
        <v>1839.7</v>
      </c>
      <c r="AG26" s="503">
        <v>21669.9</v>
      </c>
      <c r="AH26" s="503">
        <f t="shared" si="18"/>
        <v>23509.600000000002</v>
      </c>
      <c r="AI26" s="506">
        <v>28327.5</v>
      </c>
      <c r="AJ26" s="506">
        <v>282593.90000000002</v>
      </c>
      <c r="AK26" s="506">
        <v>20833.8</v>
      </c>
      <c r="AL26" s="506">
        <f t="shared" si="19"/>
        <v>303427.7</v>
      </c>
      <c r="AM26" s="506">
        <f t="shared" si="20"/>
        <v>28327.5</v>
      </c>
      <c r="AN26" s="506">
        <f t="shared" si="20"/>
        <v>312215.40000000002</v>
      </c>
      <c r="AO26" s="506">
        <f t="shared" si="20"/>
        <v>1148135.3</v>
      </c>
      <c r="AP26" s="506">
        <f t="shared" si="20"/>
        <v>1460350.7000000002</v>
      </c>
      <c r="AQ26" s="332" t="s">
        <v>611</v>
      </c>
      <c r="AR26" s="503">
        <v>7678.1</v>
      </c>
      <c r="AS26" s="503">
        <v>63584.4</v>
      </c>
      <c r="AT26" s="503">
        <v>38197.1</v>
      </c>
      <c r="AU26" s="503">
        <v>18.7</v>
      </c>
      <c r="AV26" s="503">
        <f>1386864.1-30.25</f>
        <v>1386833.85</v>
      </c>
      <c r="AW26" s="503">
        <v>9682</v>
      </c>
      <c r="AX26" s="503">
        <f t="shared" si="21"/>
        <v>1396515.85</v>
      </c>
      <c r="AY26" s="503">
        <f t="shared" si="31"/>
        <v>55688.17760000001</v>
      </c>
      <c r="AZ26" s="503">
        <f t="shared" si="22"/>
        <v>40861.355499999991</v>
      </c>
      <c r="BA26" s="506">
        <f>96552.9-3.3669</f>
        <v>96549.533100000001</v>
      </c>
      <c r="BB26" s="503">
        <v>3567488.5</v>
      </c>
      <c r="BC26" s="503">
        <f t="shared" si="23"/>
        <v>299931.33309999999</v>
      </c>
      <c r="BD26" s="945">
        <v>4126.8</v>
      </c>
      <c r="BE26" s="503">
        <v>26571.7</v>
      </c>
      <c r="BF26" s="503">
        <v>5090.2</v>
      </c>
      <c r="BG26" s="503">
        <v>278826.09999999998</v>
      </c>
      <c r="BH26" s="503">
        <f t="shared" si="24"/>
        <v>314614.8</v>
      </c>
      <c r="BI26" s="332" t="s">
        <v>611</v>
      </c>
      <c r="BJ26" s="323">
        <v>-0.9</v>
      </c>
      <c r="BK26" s="323">
        <v>7.76</v>
      </c>
      <c r="BL26" s="323">
        <v>5.13</v>
      </c>
      <c r="BM26" s="323">
        <v>4.3499999999999996</v>
      </c>
      <c r="BN26" s="323">
        <v>7.8</v>
      </c>
      <c r="BO26" s="323" t="s">
        <v>306</v>
      </c>
      <c r="BP26" s="324">
        <v>3799</v>
      </c>
      <c r="BQ26" s="326">
        <v>1499</v>
      </c>
      <c r="BR26" s="326">
        <v>5397</v>
      </c>
      <c r="BS26" s="324">
        <v>67</v>
      </c>
      <c r="BT26" s="324">
        <v>10762</v>
      </c>
      <c r="BU26" s="323">
        <f>AP26/AV26*100</f>
        <v>105.30105679205913</v>
      </c>
      <c r="BV26" s="323">
        <f t="shared" si="29"/>
        <v>128.8639518676826</v>
      </c>
      <c r="BW26" s="323">
        <f t="shared" si="30"/>
        <v>135.69510314068017</v>
      </c>
      <c r="BX26" s="323">
        <f>(M26+BA26)/AV26*100</f>
        <v>8.2633210243606321</v>
      </c>
      <c r="BY26" s="323">
        <v>4</v>
      </c>
      <c r="BZ26" s="323">
        <v>4.4400000000000004</v>
      </c>
      <c r="CA26" s="323">
        <v>7.48</v>
      </c>
      <c r="CB26" s="323">
        <f t="shared" si="27"/>
        <v>3.04</v>
      </c>
      <c r="CC26" s="323">
        <v>8.2899999999999991</v>
      </c>
      <c r="CD26" s="323">
        <v>11.72</v>
      </c>
      <c r="CE26" s="323">
        <f t="shared" si="28"/>
        <v>3.4300000000000015</v>
      </c>
    </row>
    <row r="27" spans="1:86" s="177" customFormat="1" ht="11.85" customHeight="1">
      <c r="A27" s="175"/>
      <c r="B27" s="175"/>
      <c r="C27" s="175"/>
      <c r="D27" s="175"/>
      <c r="E27" s="175"/>
      <c r="F27" s="175"/>
      <c r="G27" s="175"/>
      <c r="H27" s="175"/>
      <c r="I27" s="175" t="s">
        <v>603</v>
      </c>
      <c r="J27" s="508">
        <v>200324.2</v>
      </c>
      <c r="K27" s="508">
        <v>1555.6</v>
      </c>
      <c r="L27" s="508">
        <f t="shared" si="11"/>
        <v>201879.80000000002</v>
      </c>
      <c r="M27" s="508">
        <v>17663.5</v>
      </c>
      <c r="N27" s="508">
        <f t="shared" si="12"/>
        <v>184216.30000000002</v>
      </c>
      <c r="O27" s="508">
        <v>37163</v>
      </c>
      <c r="P27" s="508">
        <v>91526.6</v>
      </c>
      <c r="Q27" s="508">
        <v>144956.29999999999</v>
      </c>
      <c r="R27" s="508">
        <v>1154015.6000000001</v>
      </c>
      <c r="S27" s="508">
        <f t="shared" si="13"/>
        <v>1298971.9000000001</v>
      </c>
      <c r="T27" s="508">
        <f t="shared" si="14"/>
        <v>1390498.5000000002</v>
      </c>
      <c r="U27" s="508">
        <v>605.6</v>
      </c>
      <c r="V27" s="508">
        <v>303661.19999999995</v>
      </c>
      <c r="W27" s="508">
        <f t="shared" si="15"/>
        <v>329778.19999999995</v>
      </c>
      <c r="X27" s="508">
        <f t="shared" si="16"/>
        <v>1483793.8</v>
      </c>
      <c r="Y27" s="508">
        <v>1846365.5</v>
      </c>
      <c r="Z27" s="175" t="s">
        <v>603</v>
      </c>
      <c r="AA27" s="252">
        <v>0</v>
      </c>
      <c r="AB27" s="508">
        <v>27305.4</v>
      </c>
      <c r="AC27" s="508">
        <v>1111969.8</v>
      </c>
      <c r="AD27" s="508">
        <f t="shared" si="17"/>
        <v>1139275.2</v>
      </c>
      <c r="AE27" s="252">
        <v>0</v>
      </c>
      <c r="AF27" s="508">
        <v>1863.6</v>
      </c>
      <c r="AG27" s="508">
        <v>21887.3</v>
      </c>
      <c r="AH27" s="508">
        <f t="shared" si="18"/>
        <v>23750.899999999998</v>
      </c>
      <c r="AI27" s="521">
        <v>28464</v>
      </c>
      <c r="AJ27" s="521">
        <v>280509.3</v>
      </c>
      <c r="AK27" s="521">
        <v>21067.200000000001</v>
      </c>
      <c r="AL27" s="521">
        <f t="shared" si="19"/>
        <v>301576.5</v>
      </c>
      <c r="AM27" s="521">
        <f t="shared" si="20"/>
        <v>28464</v>
      </c>
      <c r="AN27" s="521">
        <f t="shared" si="20"/>
        <v>309678.3</v>
      </c>
      <c r="AO27" s="521">
        <f t="shared" si="20"/>
        <v>1154924.3</v>
      </c>
      <c r="AP27" s="521">
        <f t="shared" si="20"/>
        <v>1464602.5999999999</v>
      </c>
      <c r="AQ27" s="175" t="s">
        <v>603</v>
      </c>
      <c r="AR27" s="508">
        <v>7529.2</v>
      </c>
      <c r="AS27" s="508">
        <v>65577.7</v>
      </c>
      <c r="AT27" s="508">
        <v>36130.199999999997</v>
      </c>
      <c r="AU27" s="508">
        <v>191.2</v>
      </c>
      <c r="AV27" s="508">
        <f>1390549-28.93</f>
        <v>1390520.07</v>
      </c>
      <c r="AW27" s="508">
        <v>9714.4</v>
      </c>
      <c r="AX27" s="508">
        <f t="shared" si="21"/>
        <v>1400234.47</v>
      </c>
      <c r="AY27" s="508">
        <f t="shared" si="31"/>
        <v>55553.261600000005</v>
      </c>
      <c r="AZ27" s="508">
        <f t="shared" si="22"/>
        <v>45620.557399999998</v>
      </c>
      <c r="BA27" s="521">
        <f>101175.8-1.981</f>
        <v>101173.819</v>
      </c>
      <c r="BB27" s="508">
        <v>3617124.8</v>
      </c>
      <c r="BC27" s="508">
        <f t="shared" si="23"/>
        <v>303053.61900000001</v>
      </c>
      <c r="BD27" s="255">
        <v>4126.8</v>
      </c>
      <c r="BE27" s="508">
        <v>24941</v>
      </c>
      <c r="BF27" s="508">
        <v>4861.7</v>
      </c>
      <c r="BG27" s="508">
        <v>276641.59999999998</v>
      </c>
      <c r="BH27" s="508">
        <f t="shared" si="24"/>
        <v>310571.09999999998</v>
      </c>
      <c r="BI27" s="175" t="s">
        <v>603</v>
      </c>
      <c r="BJ27" s="281">
        <v>-1.24</v>
      </c>
      <c r="BK27" s="281">
        <v>7.61</v>
      </c>
      <c r="BL27" s="281">
        <v>5.75</v>
      </c>
      <c r="BM27" s="281">
        <v>4.83</v>
      </c>
      <c r="BN27" s="281">
        <v>8.01</v>
      </c>
      <c r="BO27" s="281" t="s">
        <v>306</v>
      </c>
      <c r="BP27" s="422">
        <v>3799</v>
      </c>
      <c r="BQ27" s="29">
        <v>1501</v>
      </c>
      <c r="BR27" s="29">
        <v>5398</v>
      </c>
      <c r="BS27" s="422">
        <v>67</v>
      </c>
      <c r="BT27" s="422">
        <v>10765</v>
      </c>
      <c r="BU27" s="281">
        <f>AP27/AV27*100</f>
        <v>105.32768505815235</v>
      </c>
      <c r="BV27" s="281">
        <f t="shared" si="29"/>
        <v>129.17046632605667</v>
      </c>
      <c r="BW27" s="281">
        <f t="shared" si="30"/>
        <v>136.05226196005572</v>
      </c>
      <c r="BX27" s="281">
        <f>(M27+BA27)/AV27*100</f>
        <v>8.5462498214786642</v>
      </c>
      <c r="BY27" s="281">
        <v>4</v>
      </c>
      <c r="BZ27" s="281">
        <v>4.4000000000000004</v>
      </c>
      <c r="CA27" s="281">
        <v>7.45</v>
      </c>
      <c r="CB27" s="281">
        <f t="shared" si="27"/>
        <v>3.05</v>
      </c>
      <c r="CC27" s="281">
        <v>8.16</v>
      </c>
      <c r="CD27" s="281">
        <v>11.54</v>
      </c>
      <c r="CE27" s="281">
        <f t="shared" si="28"/>
        <v>3.379999999999999</v>
      </c>
    </row>
    <row r="28" spans="1:86" s="177" customFormat="1" ht="11.85" customHeight="1">
      <c r="A28" s="175"/>
      <c r="B28" s="175"/>
      <c r="C28" s="175"/>
      <c r="D28" s="175"/>
      <c r="E28" s="175"/>
      <c r="F28" s="175"/>
      <c r="G28" s="175"/>
      <c r="H28" s="175"/>
      <c r="I28" s="332" t="s">
        <v>612</v>
      </c>
      <c r="J28" s="503">
        <v>208632.6</v>
      </c>
      <c r="K28" s="503">
        <v>1558.5</v>
      </c>
      <c r="L28" s="503">
        <f t="shared" si="11"/>
        <v>210191.1</v>
      </c>
      <c r="M28" s="503">
        <v>17780.2</v>
      </c>
      <c r="N28" s="503">
        <f t="shared" si="12"/>
        <v>192410.9</v>
      </c>
      <c r="O28" s="503">
        <v>34485.699999999997</v>
      </c>
      <c r="P28" s="503">
        <v>93053.2</v>
      </c>
      <c r="Q28" s="503">
        <v>146855.9</v>
      </c>
      <c r="R28" s="503">
        <v>1160606.8</v>
      </c>
      <c r="S28" s="503">
        <f t="shared" si="13"/>
        <v>1307462.7</v>
      </c>
      <c r="T28" s="503">
        <f t="shared" si="14"/>
        <v>1400515.9</v>
      </c>
      <c r="U28" s="503">
        <v>567.9</v>
      </c>
      <c r="V28" s="503">
        <v>316061.40000000002</v>
      </c>
      <c r="W28" s="503">
        <f t="shared" si="15"/>
        <v>339834.7</v>
      </c>
      <c r="X28" s="503">
        <f t="shared" si="16"/>
        <v>1500441.5</v>
      </c>
      <c r="Y28" s="503">
        <v>1862739</v>
      </c>
      <c r="Z28" s="332" t="s">
        <v>612</v>
      </c>
      <c r="AA28" s="317">
        <v>0</v>
      </c>
      <c r="AB28" s="503">
        <v>26926.5</v>
      </c>
      <c r="AC28" s="503">
        <v>1116405.6000000001</v>
      </c>
      <c r="AD28" s="503">
        <f t="shared" si="17"/>
        <v>1143332.1000000001</v>
      </c>
      <c r="AE28" s="317">
        <v>0</v>
      </c>
      <c r="AF28" s="503">
        <v>1841.7</v>
      </c>
      <c r="AG28" s="503">
        <v>21533.9</v>
      </c>
      <c r="AH28" s="503">
        <f t="shared" si="18"/>
        <v>23375.600000000002</v>
      </c>
      <c r="AI28" s="506">
        <v>28761.599999999999</v>
      </c>
      <c r="AJ28" s="506">
        <v>282214.2</v>
      </c>
      <c r="AK28" s="506">
        <v>20873.900000000001</v>
      </c>
      <c r="AL28" s="506">
        <f t="shared" si="19"/>
        <v>303088.10000000003</v>
      </c>
      <c r="AM28" s="506">
        <f t="shared" si="20"/>
        <v>28761.599999999999</v>
      </c>
      <c r="AN28" s="506">
        <f t="shared" si="20"/>
        <v>310982.40000000002</v>
      </c>
      <c r="AO28" s="506">
        <f t="shared" si="20"/>
        <v>1158813.3999999999</v>
      </c>
      <c r="AP28" s="506">
        <f t="shared" si="20"/>
        <v>1469795.8000000003</v>
      </c>
      <c r="AQ28" s="332" t="s">
        <v>612</v>
      </c>
      <c r="AR28" s="503">
        <v>7533.6</v>
      </c>
      <c r="AS28" s="503">
        <v>69453.899999999994</v>
      </c>
      <c r="AT28" s="503">
        <v>37704.800000000003</v>
      </c>
      <c r="AU28" s="503">
        <v>20.7</v>
      </c>
      <c r="AV28" s="503">
        <f>1400566.4-29.14</f>
        <v>1400537.26</v>
      </c>
      <c r="AW28" s="503">
        <v>10670.3</v>
      </c>
      <c r="AX28" s="503">
        <f t="shared" si="21"/>
        <v>1411207.56</v>
      </c>
      <c r="AY28" s="503">
        <f t="shared" si="31"/>
        <v>55860.634000000005</v>
      </c>
      <c r="AZ28" s="503">
        <f t="shared" si="22"/>
        <v>49439.124199999991</v>
      </c>
      <c r="BA28" s="506">
        <f>105302.4-2.6418</f>
        <v>105299.7582</v>
      </c>
      <c r="BB28" s="503">
        <v>3681406.4</v>
      </c>
      <c r="BC28" s="503">
        <f t="shared" si="23"/>
        <v>315490.85820000002</v>
      </c>
      <c r="BD28" s="945">
        <v>4126.8</v>
      </c>
      <c r="BE28" s="503">
        <v>25045.9</v>
      </c>
      <c r="BF28" s="503">
        <v>5093.7</v>
      </c>
      <c r="BG28" s="503">
        <v>278346.2</v>
      </c>
      <c r="BH28" s="503">
        <f t="shared" si="24"/>
        <v>312612.60000000003</v>
      </c>
      <c r="BI28" s="332" t="s">
        <v>612</v>
      </c>
      <c r="BJ28" s="323">
        <v>3.32</v>
      </c>
      <c r="BK28" s="323">
        <v>5.19</v>
      </c>
      <c r="BL28" s="323">
        <v>6.11</v>
      </c>
      <c r="BM28" s="323">
        <v>5.7</v>
      </c>
      <c r="BN28" s="323">
        <v>9.2200000000000006</v>
      </c>
      <c r="BO28" s="323" t="s">
        <v>306</v>
      </c>
      <c r="BP28" s="324">
        <v>3799</v>
      </c>
      <c r="BQ28" s="326">
        <v>1503</v>
      </c>
      <c r="BR28" s="326">
        <v>5398</v>
      </c>
      <c r="BS28" s="324">
        <v>67</v>
      </c>
      <c r="BT28" s="324">
        <v>10767</v>
      </c>
      <c r="BU28" s="323">
        <f>AP28/AV28*100</f>
        <v>104.94514083830946</v>
      </c>
      <c r="BV28" s="323">
        <f t="shared" si="29"/>
        <v>130.07683291538962</v>
      </c>
      <c r="BW28" s="323">
        <f t="shared" si="30"/>
        <v>136.5093155010681</v>
      </c>
      <c r="BX28" s="323">
        <f>(M28+BA28)/AV28*100</f>
        <v>8.7880531075624511</v>
      </c>
      <c r="BY28" s="323">
        <v>4</v>
      </c>
      <c r="BZ28" s="323">
        <v>4.3600000000000003</v>
      </c>
      <c r="CA28" s="323">
        <v>7.4</v>
      </c>
      <c r="CB28" s="323">
        <f t="shared" si="27"/>
        <v>3.04</v>
      </c>
      <c r="CC28" s="323">
        <v>8.06</v>
      </c>
      <c r="CD28" s="323">
        <v>11.48</v>
      </c>
      <c r="CE28" s="323">
        <f t="shared" si="28"/>
        <v>3.42</v>
      </c>
    </row>
    <row r="29" spans="1:86" s="177" customFormat="1" ht="11.85" customHeight="1">
      <c r="A29" s="175"/>
      <c r="B29" s="175"/>
      <c r="C29" s="175"/>
      <c r="D29" s="175"/>
      <c r="E29" s="175"/>
      <c r="F29" s="175"/>
      <c r="G29" s="175"/>
      <c r="H29" s="175"/>
      <c r="I29" s="175" t="s">
        <v>613</v>
      </c>
      <c r="J29" s="508">
        <v>219292.79999999999</v>
      </c>
      <c r="K29" s="508">
        <v>1562</v>
      </c>
      <c r="L29" s="508">
        <f t="shared" si="11"/>
        <v>220854.8</v>
      </c>
      <c r="M29" s="508">
        <v>19647.099999999999</v>
      </c>
      <c r="N29" s="508">
        <f t="shared" si="12"/>
        <v>201207.69999999998</v>
      </c>
      <c r="O29" s="508">
        <v>34630.6</v>
      </c>
      <c r="P29" s="508">
        <v>95312.7</v>
      </c>
      <c r="Q29" s="508">
        <v>151795</v>
      </c>
      <c r="R29" s="508">
        <v>1172766.2</v>
      </c>
      <c r="S29" s="508">
        <f t="shared" si="13"/>
        <v>1324561.2</v>
      </c>
      <c r="T29" s="508">
        <f t="shared" si="14"/>
        <v>1419873.9</v>
      </c>
      <c r="U29" s="508">
        <v>506.5</v>
      </c>
      <c r="V29" s="508">
        <v>327852.5</v>
      </c>
      <c r="W29" s="508">
        <f t="shared" si="15"/>
        <v>353509.19999999995</v>
      </c>
      <c r="X29" s="508">
        <f t="shared" si="16"/>
        <v>1526275.4</v>
      </c>
      <c r="Y29" s="508">
        <v>1891599.0499999998</v>
      </c>
      <c r="Z29" s="175" t="s">
        <v>613</v>
      </c>
      <c r="AA29" s="252">
        <v>0</v>
      </c>
      <c r="AB29" s="508">
        <v>28597</v>
      </c>
      <c r="AC29" s="508">
        <v>1122874</v>
      </c>
      <c r="AD29" s="508">
        <f t="shared" si="17"/>
        <v>1151471</v>
      </c>
      <c r="AE29" s="252">
        <v>0</v>
      </c>
      <c r="AF29" s="508">
        <v>1799.4</v>
      </c>
      <c r="AG29" s="508">
        <v>22418.799999999999</v>
      </c>
      <c r="AH29" s="508">
        <f t="shared" si="18"/>
        <v>24218.2</v>
      </c>
      <c r="AI29" s="521">
        <v>28561.1</v>
      </c>
      <c r="AJ29" s="521">
        <v>291711</v>
      </c>
      <c r="AK29" s="521">
        <v>20999.8</v>
      </c>
      <c r="AL29" s="521">
        <f t="shared" si="19"/>
        <v>312710.8</v>
      </c>
      <c r="AM29" s="521">
        <f t="shared" si="20"/>
        <v>28561.1</v>
      </c>
      <c r="AN29" s="521">
        <f t="shared" si="20"/>
        <v>322107.40000000002</v>
      </c>
      <c r="AO29" s="521">
        <f t="shared" si="20"/>
        <v>1166292.6000000001</v>
      </c>
      <c r="AP29" s="521">
        <f t="shared" si="20"/>
        <v>1488400</v>
      </c>
      <c r="AQ29" s="175" t="s">
        <v>613</v>
      </c>
      <c r="AR29" s="508">
        <v>7523.1</v>
      </c>
      <c r="AS29" s="508">
        <v>71210.399999999994</v>
      </c>
      <c r="AT29" s="508">
        <v>37132</v>
      </c>
      <c r="AU29" s="508">
        <v>38</v>
      </c>
      <c r="AV29" s="508">
        <f>1419924.4-29.55</f>
        <v>1419894.8499999999</v>
      </c>
      <c r="AW29" s="508">
        <v>10175.5</v>
      </c>
      <c r="AX29" s="508">
        <f t="shared" si="21"/>
        <v>1430070.3499999999</v>
      </c>
      <c r="AY29" s="508">
        <f>0.04*AX27</f>
        <v>56009.378799999999</v>
      </c>
      <c r="AZ29" s="508">
        <f t="shared" si="22"/>
        <v>50478.262599999995</v>
      </c>
      <c r="BA29" s="521">
        <f>106491.2-3.5586</f>
        <v>106487.64139999999</v>
      </c>
      <c r="BB29" s="508">
        <v>3752633.9</v>
      </c>
      <c r="BC29" s="508">
        <f t="shared" si="23"/>
        <v>327342.44140000001</v>
      </c>
      <c r="BD29" s="255">
        <v>4126.8</v>
      </c>
      <c r="BE29" s="508">
        <v>25117.200000000001</v>
      </c>
      <c r="BF29" s="508">
        <v>6701.2</v>
      </c>
      <c r="BG29" s="508">
        <v>287838.40000000002</v>
      </c>
      <c r="BH29" s="508">
        <f t="shared" si="24"/>
        <v>323783.60000000003</v>
      </c>
      <c r="BI29" s="175" t="s">
        <v>613</v>
      </c>
      <c r="BJ29" s="281">
        <v>9.01</v>
      </c>
      <c r="BK29" s="281">
        <v>5.36</v>
      </c>
      <c r="BL29" s="281">
        <v>6.79</v>
      </c>
      <c r="BM29" s="281">
        <v>7.07</v>
      </c>
      <c r="BN29" s="281">
        <v>11.1</v>
      </c>
      <c r="BO29" s="281" t="s">
        <v>306</v>
      </c>
      <c r="BP29" s="422">
        <v>3799</v>
      </c>
      <c r="BQ29" s="29">
        <v>1503</v>
      </c>
      <c r="BR29" s="29">
        <v>5399</v>
      </c>
      <c r="BS29" s="422">
        <v>67</v>
      </c>
      <c r="BT29" s="422">
        <v>10768</v>
      </c>
      <c r="BU29" s="281">
        <f>AP29/AV29*100</f>
        <v>104.82466360097018</v>
      </c>
      <c r="BV29" s="281">
        <f t="shared" si="29"/>
        <v>131.86244892273402</v>
      </c>
      <c r="BW29" s="281">
        <f t="shared" si="30"/>
        <v>138.22436849925705</v>
      </c>
      <c r="BX29" s="281">
        <f>(M29+BA29)/AV29*100</f>
        <v>8.883386076088664</v>
      </c>
      <c r="BY29" s="281">
        <v>4</v>
      </c>
      <c r="BZ29" s="281">
        <v>4.1399999999999997</v>
      </c>
      <c r="CA29" s="281">
        <v>7.4</v>
      </c>
      <c r="CB29" s="281">
        <f t="shared" si="27"/>
        <v>3.2600000000000007</v>
      </c>
      <c r="CC29" s="281">
        <v>7.93</v>
      </c>
      <c r="CD29" s="281">
        <v>11.28</v>
      </c>
      <c r="CE29" s="281">
        <f t="shared" si="28"/>
        <v>3.3499999999999996</v>
      </c>
    </row>
    <row r="30" spans="1:86" s="177" customFormat="1" ht="11.85" customHeight="1">
      <c r="A30" s="175"/>
      <c r="B30" s="175"/>
      <c r="C30" s="175"/>
      <c r="D30" s="175"/>
      <c r="E30" s="175"/>
      <c r="F30" s="175"/>
      <c r="G30" s="175"/>
      <c r="H30" s="175"/>
      <c r="I30" s="332" t="s">
        <v>604</v>
      </c>
      <c r="J30" s="503">
        <v>225322.2</v>
      </c>
      <c r="K30" s="503">
        <v>1566.1</v>
      </c>
      <c r="L30" s="503">
        <f t="shared" si="11"/>
        <v>226888.30000000002</v>
      </c>
      <c r="M30" s="503">
        <v>17370.599999999999</v>
      </c>
      <c r="N30" s="503">
        <f t="shared" si="12"/>
        <v>209517.7</v>
      </c>
      <c r="O30" s="503">
        <v>40048.199999999997</v>
      </c>
      <c r="P30" s="503">
        <v>96176.5</v>
      </c>
      <c r="Q30" s="503">
        <v>165724.5</v>
      </c>
      <c r="R30" s="503">
        <v>1185066.6000000001</v>
      </c>
      <c r="S30" s="503">
        <f t="shared" si="13"/>
        <v>1350791.1</v>
      </c>
      <c r="T30" s="503">
        <f t="shared" si="14"/>
        <v>1446967.6</v>
      </c>
      <c r="U30" s="503">
        <v>586.5</v>
      </c>
      <c r="V30" s="503">
        <v>348071.80000000005</v>
      </c>
      <c r="W30" s="503">
        <f t="shared" si="15"/>
        <v>375828.7</v>
      </c>
      <c r="X30" s="503">
        <f t="shared" si="16"/>
        <v>1560895.3</v>
      </c>
      <c r="Y30" s="503">
        <v>1929045.3</v>
      </c>
      <c r="Z30" s="332" t="s">
        <v>604</v>
      </c>
      <c r="AA30" s="317">
        <v>0</v>
      </c>
      <c r="AB30" s="503">
        <v>26917.4</v>
      </c>
      <c r="AC30" s="503">
        <v>1139574.1000000001</v>
      </c>
      <c r="AD30" s="503">
        <f t="shared" si="17"/>
        <v>1166491.5</v>
      </c>
      <c r="AE30" s="317">
        <v>0</v>
      </c>
      <c r="AF30" s="503">
        <v>1788.7</v>
      </c>
      <c r="AG30" s="503">
        <v>22235.9</v>
      </c>
      <c r="AH30" s="503">
        <f t="shared" si="18"/>
        <v>24024.600000000002</v>
      </c>
      <c r="AI30" s="506">
        <v>29531.4</v>
      </c>
      <c r="AJ30" s="506">
        <v>299276.3</v>
      </c>
      <c r="AK30" s="506">
        <v>21206.9</v>
      </c>
      <c r="AL30" s="506">
        <f t="shared" si="19"/>
        <v>320483.20000000001</v>
      </c>
      <c r="AM30" s="506">
        <f t="shared" si="20"/>
        <v>29531.4</v>
      </c>
      <c r="AN30" s="506">
        <f t="shared" si="20"/>
        <v>327982.39999999997</v>
      </c>
      <c r="AO30" s="506">
        <f t="shared" si="20"/>
        <v>1183016.8999999999</v>
      </c>
      <c r="AP30" s="506">
        <f t="shared" si="20"/>
        <v>1510999.3</v>
      </c>
      <c r="AQ30" s="332" t="s">
        <v>604</v>
      </c>
      <c r="AR30" s="503">
        <v>7539</v>
      </c>
      <c r="AS30" s="503">
        <v>73626.100000000006</v>
      </c>
      <c r="AT30" s="503">
        <v>37421.1</v>
      </c>
      <c r="AU30" s="503">
        <v>75.3</v>
      </c>
      <c r="AV30" s="503">
        <f>1447018.3-34.19</f>
        <v>1446984.11</v>
      </c>
      <c r="AW30" s="503">
        <v>9967.1</v>
      </c>
      <c r="AX30" s="503">
        <f t="shared" si="21"/>
        <v>1456951.2100000002</v>
      </c>
      <c r="AY30" s="503">
        <f>0.04*AX28</f>
        <v>56448.3024</v>
      </c>
      <c r="AZ30" s="503">
        <f t="shared" si="22"/>
        <v>64144.017200000002</v>
      </c>
      <c r="BA30" s="506">
        <f>120597-4.6804</f>
        <v>120592.3196</v>
      </c>
      <c r="BB30" s="503">
        <v>3842083.7</v>
      </c>
      <c r="BC30" s="503">
        <f t="shared" si="23"/>
        <v>347480.61960000003</v>
      </c>
      <c r="BD30" s="945">
        <v>4126.8</v>
      </c>
      <c r="BE30" s="503">
        <v>29712.3</v>
      </c>
      <c r="BF30" s="503">
        <v>5780.6</v>
      </c>
      <c r="BG30" s="503">
        <v>295402.2</v>
      </c>
      <c r="BH30" s="503">
        <f t="shared" si="24"/>
        <v>335021.89999999997</v>
      </c>
      <c r="BI30" s="332" t="s">
        <v>604</v>
      </c>
      <c r="BJ30" s="323">
        <v>22.01</v>
      </c>
      <c r="BK30" s="323">
        <v>2.75</v>
      </c>
      <c r="BL30" s="323">
        <v>8.35</v>
      </c>
      <c r="BM30" s="323">
        <v>10.11</v>
      </c>
      <c r="BN30" s="323">
        <v>13.62</v>
      </c>
      <c r="BO30" s="323" t="s">
        <v>306</v>
      </c>
      <c r="BP30" s="324">
        <v>3801</v>
      </c>
      <c r="BQ30" s="324">
        <v>1504</v>
      </c>
      <c r="BR30" s="324">
        <v>5421</v>
      </c>
      <c r="BS30" s="324">
        <v>67</v>
      </c>
      <c r="BT30" s="324">
        <v>10793</v>
      </c>
      <c r="BU30" s="323">
        <f>AP30/AV30*100</f>
        <v>104.42404236215144</v>
      </c>
      <c r="BV30" s="323">
        <f t="shared" si="29"/>
        <v>134.06690540164922</v>
      </c>
      <c r="BW30" s="323">
        <f t="shared" si="30"/>
        <v>139.99808209024368</v>
      </c>
      <c r="BX30" s="323">
        <f>(M30+BA30)/AV30*100</f>
        <v>9.5345151786082845</v>
      </c>
      <c r="BY30" s="323">
        <v>4</v>
      </c>
      <c r="BZ30" s="323">
        <v>4.13</v>
      </c>
      <c r="CA30" s="323">
        <v>7.33</v>
      </c>
      <c r="CB30" s="323">
        <f t="shared" si="27"/>
        <v>3.2</v>
      </c>
      <c r="CC30" s="323">
        <v>7.82</v>
      </c>
      <c r="CD30" s="323">
        <v>11.19</v>
      </c>
      <c r="CE30" s="323">
        <f t="shared" si="28"/>
        <v>3.3699999999999992</v>
      </c>
    </row>
    <row r="31" spans="1:86" s="177" customFormat="1" ht="11.85" customHeight="1">
      <c r="A31" s="175"/>
      <c r="B31" s="175"/>
      <c r="C31" s="175"/>
      <c r="D31" s="175"/>
      <c r="E31" s="175"/>
      <c r="F31" s="175"/>
      <c r="G31" s="175"/>
      <c r="H31" s="175"/>
      <c r="I31" s="204" t="s">
        <v>2166</v>
      </c>
      <c r="J31" s="600">
        <f>J43</f>
        <v>254519.5</v>
      </c>
      <c r="K31" s="600">
        <f t="shared" ref="K31:Y31" si="32">K43</f>
        <v>1663.3</v>
      </c>
      <c r="L31" s="600">
        <f t="shared" si="32"/>
        <v>256182.8</v>
      </c>
      <c r="M31" s="600">
        <f t="shared" si="32"/>
        <v>19733.8</v>
      </c>
      <c r="N31" s="600">
        <f t="shared" si="32"/>
        <v>236449</v>
      </c>
      <c r="O31" s="600">
        <f t="shared" si="32"/>
        <v>36254.9</v>
      </c>
      <c r="P31" s="600">
        <f t="shared" si="32"/>
        <v>108918.7</v>
      </c>
      <c r="Q31" s="600">
        <f t="shared" si="32"/>
        <v>188859.4</v>
      </c>
      <c r="R31" s="600">
        <f t="shared" si="32"/>
        <v>1282217.5</v>
      </c>
      <c r="S31" s="600">
        <f t="shared" si="32"/>
        <v>1471076.9</v>
      </c>
      <c r="T31" s="600">
        <f t="shared" si="32"/>
        <v>1579995.5999999999</v>
      </c>
      <c r="U31" s="600">
        <f t="shared" si="32"/>
        <v>596.4</v>
      </c>
      <c r="V31" s="600">
        <f t="shared" si="32"/>
        <v>347162</v>
      </c>
      <c r="W31" s="600">
        <f t="shared" si="32"/>
        <v>425904.80000000005</v>
      </c>
      <c r="X31" s="600">
        <f t="shared" si="32"/>
        <v>1708122.3</v>
      </c>
      <c r="Y31" s="600">
        <f t="shared" si="32"/>
        <v>2097973.2999999998</v>
      </c>
      <c r="Z31" s="204" t="s">
        <v>2166</v>
      </c>
      <c r="AA31" s="600">
        <f t="shared" ref="AA31:AP31" si="33">AA43</f>
        <v>0</v>
      </c>
      <c r="AB31" s="600">
        <f t="shared" si="33"/>
        <v>38512.6</v>
      </c>
      <c r="AC31" s="600">
        <f t="shared" si="33"/>
        <v>1286429.5</v>
      </c>
      <c r="AD31" s="600">
        <f t="shared" si="33"/>
        <v>1324942.1000000001</v>
      </c>
      <c r="AE31" s="600">
        <f t="shared" si="33"/>
        <v>0</v>
      </c>
      <c r="AF31" s="600">
        <f t="shared" si="33"/>
        <v>1884.6</v>
      </c>
      <c r="AG31" s="600">
        <f t="shared" si="33"/>
        <v>32287.9</v>
      </c>
      <c r="AH31" s="600">
        <f t="shared" si="33"/>
        <v>34172.5</v>
      </c>
      <c r="AI31" s="600">
        <f t="shared" si="33"/>
        <v>30832</v>
      </c>
      <c r="AJ31" s="600">
        <f t="shared" si="33"/>
        <v>334009.8</v>
      </c>
      <c r="AK31" s="600">
        <f t="shared" si="33"/>
        <v>26582.3</v>
      </c>
      <c r="AL31" s="600">
        <f t="shared" si="33"/>
        <v>360592.1</v>
      </c>
      <c r="AM31" s="600">
        <f t="shared" si="33"/>
        <v>30832</v>
      </c>
      <c r="AN31" s="600">
        <f t="shared" si="33"/>
        <v>374407</v>
      </c>
      <c r="AO31" s="600">
        <f t="shared" si="33"/>
        <v>1345299.7</v>
      </c>
      <c r="AP31" s="600">
        <f t="shared" si="33"/>
        <v>1719706.7000000002</v>
      </c>
      <c r="AQ31" s="204" t="s">
        <v>2166</v>
      </c>
      <c r="AR31" s="600">
        <f t="shared" ref="AR31:BH31" si="34">AR43</f>
        <v>7702.1</v>
      </c>
      <c r="AS31" s="600">
        <f t="shared" si="34"/>
        <v>91659.8</v>
      </c>
      <c r="AT31" s="600">
        <f t="shared" si="34"/>
        <v>42893.9</v>
      </c>
      <c r="AU31" s="600">
        <f t="shared" si="34"/>
        <v>634.4</v>
      </c>
      <c r="AV31" s="600">
        <f t="shared" si="34"/>
        <v>1580021.02</v>
      </c>
      <c r="AW31" s="600">
        <f t="shared" si="34"/>
        <v>14605</v>
      </c>
      <c r="AX31" s="600">
        <f t="shared" si="34"/>
        <v>1594626.02</v>
      </c>
      <c r="AY31" s="600">
        <f t="shared" si="34"/>
        <v>61803.300800000005</v>
      </c>
      <c r="AZ31" s="600">
        <f t="shared" si="34"/>
        <v>28571.401199999986</v>
      </c>
      <c r="BA31" s="600">
        <f t="shared" si="34"/>
        <v>90374.70199999999</v>
      </c>
      <c r="BB31" s="600">
        <f t="shared" si="34"/>
        <v>4276170.7</v>
      </c>
      <c r="BC31" s="600">
        <f t="shared" si="34"/>
        <v>346557.50199999998</v>
      </c>
      <c r="BD31" s="600">
        <f t="shared" si="34"/>
        <v>4853.7</v>
      </c>
      <c r="BE31" s="600">
        <f t="shared" si="34"/>
        <v>53503</v>
      </c>
      <c r="BF31" s="600">
        <f t="shared" si="34"/>
        <v>11175.3</v>
      </c>
      <c r="BG31" s="600">
        <f t="shared" si="34"/>
        <v>329468.59999999998</v>
      </c>
      <c r="BH31" s="600">
        <f t="shared" si="34"/>
        <v>399000.6</v>
      </c>
      <c r="BI31" s="204" t="s">
        <v>2166</v>
      </c>
      <c r="BJ31" s="599">
        <f>BJ43</f>
        <v>28.18</v>
      </c>
      <c r="BK31" s="599">
        <f t="shared" ref="BK31:BN31" si="35">BK43</f>
        <v>23.92</v>
      </c>
      <c r="BL31" s="599">
        <f t="shared" si="35"/>
        <v>13.66</v>
      </c>
      <c r="BM31" s="599">
        <f t="shared" si="35"/>
        <v>16.100000000000001</v>
      </c>
      <c r="BN31" s="599">
        <f t="shared" si="35"/>
        <v>9.43</v>
      </c>
      <c r="BO31" s="374">
        <v>2.3279727878953862</v>
      </c>
      <c r="BP31" s="673">
        <f t="shared" ref="BP31:CE31" si="36">BP43</f>
        <v>3812</v>
      </c>
      <c r="BQ31" s="673">
        <f t="shared" si="36"/>
        <v>1519</v>
      </c>
      <c r="BR31" s="673">
        <f t="shared" si="36"/>
        <v>5567</v>
      </c>
      <c r="BS31" s="673">
        <f t="shared" si="36"/>
        <v>65</v>
      </c>
      <c r="BT31" s="673">
        <f t="shared" si="36"/>
        <v>10963</v>
      </c>
      <c r="BU31" s="599">
        <f t="shared" si="36"/>
        <v>108.8407482072612</v>
      </c>
      <c r="BV31" s="599">
        <f t="shared" si="36"/>
        <v>144.1230520842835</v>
      </c>
      <c r="BW31" s="599">
        <f t="shared" si="36"/>
        <v>156.86460822767492</v>
      </c>
      <c r="BX31" s="599">
        <f t="shared" si="36"/>
        <v>6.9687998201441639</v>
      </c>
      <c r="BY31" s="599">
        <f t="shared" si="36"/>
        <v>4</v>
      </c>
      <c r="BZ31" s="599">
        <f t="shared" si="36"/>
        <v>3.97</v>
      </c>
      <c r="CA31" s="599">
        <f t="shared" si="36"/>
        <v>7.09</v>
      </c>
      <c r="CB31" s="599">
        <f t="shared" si="36"/>
        <v>3.1199999999999997</v>
      </c>
      <c r="CC31" s="599">
        <f t="shared" si="36"/>
        <v>7.49</v>
      </c>
      <c r="CD31" s="599">
        <f t="shared" si="36"/>
        <v>9.85</v>
      </c>
      <c r="CE31" s="599">
        <f t="shared" si="36"/>
        <v>2.3599999999999994</v>
      </c>
    </row>
    <row r="32" spans="1:86" s="177" customFormat="1" ht="11.85" customHeight="1">
      <c r="A32" s="175"/>
      <c r="B32" s="175"/>
      <c r="C32" s="175"/>
      <c r="D32" s="175"/>
      <c r="E32" s="175"/>
      <c r="F32" s="175"/>
      <c r="G32" s="175"/>
      <c r="H32" s="175"/>
      <c r="I32" s="332" t="s">
        <v>606</v>
      </c>
      <c r="J32" s="503">
        <v>244502.5</v>
      </c>
      <c r="K32" s="503">
        <v>1569.3</v>
      </c>
      <c r="L32" s="503">
        <f t="shared" si="11"/>
        <v>246071.8</v>
      </c>
      <c r="M32" s="503">
        <v>19028.900000000001</v>
      </c>
      <c r="N32" s="503">
        <f t="shared" si="12"/>
        <v>227042.9</v>
      </c>
      <c r="O32" s="503">
        <v>39218.800000000003</v>
      </c>
      <c r="P32" s="503">
        <v>95349</v>
      </c>
      <c r="Q32" s="503">
        <v>157384</v>
      </c>
      <c r="R32" s="503">
        <v>1193049.8</v>
      </c>
      <c r="S32" s="503">
        <f t="shared" si="13"/>
        <v>1350433.8</v>
      </c>
      <c r="T32" s="503">
        <f t="shared" si="14"/>
        <v>1445782.8</v>
      </c>
      <c r="U32" s="503">
        <v>569.29999999999995</v>
      </c>
      <c r="V32" s="503">
        <v>349551.2</v>
      </c>
      <c r="W32" s="503">
        <f t="shared" si="15"/>
        <v>384996.2</v>
      </c>
      <c r="X32" s="503">
        <f t="shared" si="16"/>
        <v>1578046</v>
      </c>
      <c r="Y32" s="503">
        <v>1948997.5</v>
      </c>
      <c r="Z32" s="332" t="s">
        <v>606</v>
      </c>
      <c r="AA32" s="317">
        <v>0</v>
      </c>
      <c r="AB32" s="503">
        <v>27159.9</v>
      </c>
      <c r="AC32" s="503">
        <v>1135185</v>
      </c>
      <c r="AD32" s="503">
        <f t="shared" si="17"/>
        <v>1162344.8999999999</v>
      </c>
      <c r="AE32" s="317">
        <v>0</v>
      </c>
      <c r="AF32" s="503">
        <v>1759.7</v>
      </c>
      <c r="AG32" s="503">
        <v>24416.1</v>
      </c>
      <c r="AH32" s="503">
        <f t="shared" si="18"/>
        <v>26175.8</v>
      </c>
      <c r="AI32" s="506">
        <v>29438.1</v>
      </c>
      <c r="AJ32" s="506">
        <v>311156.59999999998</v>
      </c>
      <c r="AK32" s="506">
        <v>21588.1</v>
      </c>
      <c r="AL32" s="506">
        <f t="shared" si="19"/>
        <v>332744.69999999995</v>
      </c>
      <c r="AM32" s="506">
        <f t="shared" si="20"/>
        <v>29438.1</v>
      </c>
      <c r="AN32" s="506">
        <f t="shared" si="20"/>
        <v>340076.19999999995</v>
      </c>
      <c r="AO32" s="506">
        <f t="shared" si="20"/>
        <v>1181189.2000000002</v>
      </c>
      <c r="AP32" s="506">
        <f t="shared" si="20"/>
        <v>1521265.4</v>
      </c>
      <c r="AQ32" s="332" t="s">
        <v>606</v>
      </c>
      <c r="AR32" s="503">
        <v>7236</v>
      </c>
      <c r="AS32" s="503">
        <v>75326.100000000006</v>
      </c>
      <c r="AT32" s="503">
        <v>39241.199999999997</v>
      </c>
      <c r="AU32" s="503">
        <v>77.599999999999994</v>
      </c>
      <c r="AV32" s="503">
        <f>1445833.5-31.27</f>
        <v>1445802.23</v>
      </c>
      <c r="AW32" s="503">
        <v>12396.5</v>
      </c>
      <c r="AX32" s="503">
        <f t="shared" si="21"/>
        <v>1458198.73</v>
      </c>
      <c r="AY32" s="503">
        <f>0.04*AX29</f>
        <v>57202.813999999998</v>
      </c>
      <c r="AZ32" s="503">
        <f t="shared" si="22"/>
        <v>45704.645900000003</v>
      </c>
      <c r="BA32" s="506">
        <f>102910.1-2.6401</f>
        <v>102907.4599</v>
      </c>
      <c r="BB32" s="503">
        <v>3877920.8</v>
      </c>
      <c r="BC32" s="503">
        <f t="shared" si="23"/>
        <v>348979.2599</v>
      </c>
      <c r="BD32" s="945">
        <v>4126.8</v>
      </c>
      <c r="BE32" s="503">
        <v>25725.3</v>
      </c>
      <c r="BF32" s="503">
        <v>5826.9</v>
      </c>
      <c r="BG32" s="503">
        <v>307282.5</v>
      </c>
      <c r="BH32" s="503">
        <f t="shared" si="24"/>
        <v>342961.5</v>
      </c>
      <c r="BI32" s="332" t="s">
        <v>606</v>
      </c>
      <c r="BJ32" s="323">
        <v>3.67</v>
      </c>
      <c r="BK32" s="323">
        <v>0.4</v>
      </c>
      <c r="BL32" s="323">
        <v>-0.16</v>
      </c>
      <c r="BM32" s="323">
        <v>0.44</v>
      </c>
      <c r="BN32" s="323">
        <v>1.1000000000000001</v>
      </c>
      <c r="BO32" s="323" t="s">
        <v>306</v>
      </c>
      <c r="BP32" s="324">
        <v>3801</v>
      </c>
      <c r="BQ32" s="324">
        <v>1507</v>
      </c>
      <c r="BR32" s="324">
        <v>5422</v>
      </c>
      <c r="BS32" s="324">
        <v>67</v>
      </c>
      <c r="BT32" s="324">
        <f t="shared" ref="BT32:BT48" si="37">SUM(BP32:BS32)</f>
        <v>10797</v>
      </c>
      <c r="BU32" s="323">
        <f t="shared" ref="BU32" si="38">AP32/AV32*100</f>
        <v>105.2194669806257</v>
      </c>
      <c r="BV32" s="323">
        <f t="shared" ref="BV32:BV38" si="39">AV32/BT32</f>
        <v>133.90777345558951</v>
      </c>
      <c r="BW32" s="323">
        <f t="shared" ref="BW32:BW38" si="40">AP32/BT32</f>
        <v>140.89704547559506</v>
      </c>
      <c r="BX32" s="323">
        <f t="shared" ref="BX32" si="41">(M32+BA32)/AV32*100</f>
        <v>8.4338201567167328</v>
      </c>
      <c r="BY32" s="323">
        <v>4</v>
      </c>
      <c r="BZ32" s="323">
        <v>4.1100000000000003</v>
      </c>
      <c r="CA32" s="323">
        <v>7.3</v>
      </c>
      <c r="CB32" s="323">
        <f t="shared" si="27"/>
        <v>3.1899999999999995</v>
      </c>
      <c r="CC32" s="323">
        <v>7.7</v>
      </c>
      <c r="CD32" s="323">
        <v>11.11</v>
      </c>
      <c r="CE32" s="323">
        <f t="shared" si="28"/>
        <v>3.4099999999999993</v>
      </c>
    </row>
    <row r="33" spans="1:83" s="177" customFormat="1" ht="11.85" customHeight="1">
      <c r="A33" s="175"/>
      <c r="B33" s="175"/>
      <c r="C33" s="175"/>
      <c r="D33" s="175"/>
      <c r="E33" s="175"/>
      <c r="F33" s="175"/>
      <c r="G33" s="175"/>
      <c r="H33" s="175"/>
      <c r="I33" s="175" t="s">
        <v>607</v>
      </c>
      <c r="J33" s="508">
        <v>232100.9</v>
      </c>
      <c r="K33" s="508">
        <v>1574.7</v>
      </c>
      <c r="L33" s="508">
        <f t="shared" si="11"/>
        <v>233675.6</v>
      </c>
      <c r="M33" s="508">
        <v>20154.900000000001</v>
      </c>
      <c r="N33" s="508">
        <f t="shared" si="12"/>
        <v>213520.7</v>
      </c>
      <c r="O33" s="508">
        <v>34545.599999999999</v>
      </c>
      <c r="P33" s="508">
        <v>97383.2</v>
      </c>
      <c r="Q33" s="508">
        <v>160725.5</v>
      </c>
      <c r="R33" s="508">
        <v>1204766.6000000001</v>
      </c>
      <c r="S33" s="508">
        <f t="shared" si="13"/>
        <v>1365492.1</v>
      </c>
      <c r="T33" s="508">
        <f t="shared" si="14"/>
        <v>1462875.3</v>
      </c>
      <c r="U33" s="508">
        <v>530.1</v>
      </c>
      <c r="V33" s="508">
        <v>325861</v>
      </c>
      <c r="W33" s="508">
        <f t="shared" si="15"/>
        <v>374776.3</v>
      </c>
      <c r="X33" s="508">
        <f t="shared" si="16"/>
        <v>1579542.9000000001</v>
      </c>
      <c r="Y33" s="508">
        <v>1951470.9</v>
      </c>
      <c r="Z33" s="175" t="s">
        <v>607</v>
      </c>
      <c r="AA33" s="252">
        <v>0</v>
      </c>
      <c r="AB33" s="508">
        <v>27134.400000000001</v>
      </c>
      <c r="AC33" s="508">
        <v>1141144.6000000001</v>
      </c>
      <c r="AD33" s="508">
        <f t="shared" si="17"/>
        <v>1168279</v>
      </c>
      <c r="AE33" s="252">
        <v>0</v>
      </c>
      <c r="AF33" s="508">
        <v>1727.9</v>
      </c>
      <c r="AG33" s="508">
        <v>25935.7</v>
      </c>
      <c r="AH33" s="508">
        <f t="shared" si="18"/>
        <v>27663.600000000002</v>
      </c>
      <c r="AI33" s="521">
        <v>29125.1</v>
      </c>
      <c r="AJ33" s="521">
        <v>314599.59999999998</v>
      </c>
      <c r="AK33" s="521">
        <v>21431.9</v>
      </c>
      <c r="AL33" s="521">
        <f t="shared" si="19"/>
        <v>336031.5</v>
      </c>
      <c r="AM33" s="521">
        <f t="shared" si="20"/>
        <v>29125.1</v>
      </c>
      <c r="AN33" s="521">
        <f t="shared" si="20"/>
        <v>343461.89999999997</v>
      </c>
      <c r="AO33" s="521">
        <f t="shared" si="20"/>
        <v>1188512.2</v>
      </c>
      <c r="AP33" s="521">
        <f t="shared" si="20"/>
        <v>1531974.1</v>
      </c>
      <c r="AQ33" s="175" t="s">
        <v>607</v>
      </c>
      <c r="AR33" s="508">
        <v>7159.9</v>
      </c>
      <c r="AS33" s="508">
        <v>75291.100000000006</v>
      </c>
      <c r="AT33" s="508">
        <v>39824</v>
      </c>
      <c r="AU33" s="508">
        <v>101.9</v>
      </c>
      <c r="AV33" s="508">
        <f>1462926.1-30.75</f>
        <v>1462895.35</v>
      </c>
      <c r="AW33" s="508">
        <v>10566.8</v>
      </c>
      <c r="AX33" s="508">
        <f t="shared" si="21"/>
        <v>1473462.1500000001</v>
      </c>
      <c r="AY33" s="508">
        <f>0.04*AX30</f>
        <v>58278.048400000007</v>
      </c>
      <c r="AZ33" s="508">
        <f t="shared" si="22"/>
        <v>33376.067799999997</v>
      </c>
      <c r="BA33" s="521">
        <f>91655.3-1.1838</f>
        <v>91654.116200000004</v>
      </c>
      <c r="BB33" s="508">
        <v>3945983.1</v>
      </c>
      <c r="BC33" s="508">
        <f t="shared" si="23"/>
        <v>325329.71620000002</v>
      </c>
      <c r="BD33" s="255">
        <v>4126.8</v>
      </c>
      <c r="BE33" s="508">
        <v>24809.5</v>
      </c>
      <c r="BF33" s="508">
        <v>5856.1</v>
      </c>
      <c r="BG33" s="508">
        <v>310726.3</v>
      </c>
      <c r="BH33" s="508">
        <f t="shared" si="24"/>
        <v>345518.69999999995</v>
      </c>
      <c r="BI33" s="175" t="s">
        <v>607</v>
      </c>
      <c r="BJ33" s="281">
        <v>1.58</v>
      </c>
      <c r="BK33" s="281">
        <v>0.7</v>
      </c>
      <c r="BL33" s="281">
        <v>0.47</v>
      </c>
      <c r="BM33" s="281">
        <v>0.64</v>
      </c>
      <c r="BN33" s="281">
        <v>1.19</v>
      </c>
      <c r="BO33" s="281" t="s">
        <v>306</v>
      </c>
      <c r="BP33" s="422">
        <v>3801</v>
      </c>
      <c r="BQ33" s="422">
        <v>1507</v>
      </c>
      <c r="BR33" s="422">
        <v>5424</v>
      </c>
      <c r="BS33" s="422">
        <v>67</v>
      </c>
      <c r="BT33" s="422">
        <f t="shared" si="37"/>
        <v>10799</v>
      </c>
      <c r="BU33" s="281">
        <f t="shared" ref="BU33:BU37" si="42">AP33/AV33*100</f>
        <v>104.72205684432588</v>
      </c>
      <c r="BV33" s="281">
        <f t="shared" si="39"/>
        <v>135.46581627928512</v>
      </c>
      <c r="BW33" s="281">
        <f t="shared" si="40"/>
        <v>141.86258912862303</v>
      </c>
      <c r="BX33" s="281">
        <f t="shared" ref="BX33:BX38" si="43">(M33+BA33)/AV33*100</f>
        <v>7.6429948458035639</v>
      </c>
      <c r="BY33" s="281">
        <v>4</v>
      </c>
      <c r="BZ33" s="281">
        <v>4.05</v>
      </c>
      <c r="CA33" s="281">
        <v>7.24</v>
      </c>
      <c r="CB33" s="281">
        <f t="shared" si="27"/>
        <v>3.1900000000000004</v>
      </c>
      <c r="CC33" s="281">
        <v>7.62</v>
      </c>
      <c r="CD33" s="281">
        <v>10.98</v>
      </c>
      <c r="CE33" s="281">
        <f t="shared" si="28"/>
        <v>3.3600000000000003</v>
      </c>
    </row>
    <row r="34" spans="1:83" s="177" customFormat="1" ht="11.85" customHeight="1">
      <c r="A34" s="175"/>
      <c r="B34" s="175"/>
      <c r="C34" s="175"/>
      <c r="D34" s="175"/>
      <c r="E34" s="175"/>
      <c r="F34" s="175"/>
      <c r="G34" s="175"/>
      <c r="H34" s="175"/>
      <c r="I34" s="332" t="s">
        <v>601</v>
      </c>
      <c r="J34" s="503">
        <v>226089.4</v>
      </c>
      <c r="K34" s="503">
        <v>1582.3</v>
      </c>
      <c r="L34" s="503">
        <f t="shared" si="11"/>
        <v>227671.69999999998</v>
      </c>
      <c r="M34" s="503">
        <v>18053.3</v>
      </c>
      <c r="N34" s="503">
        <f t="shared" si="12"/>
        <v>209618.4</v>
      </c>
      <c r="O34" s="503">
        <v>32460.7</v>
      </c>
      <c r="P34" s="503">
        <v>97093</v>
      </c>
      <c r="Q34" s="503">
        <v>156427.29999999999</v>
      </c>
      <c r="R34" s="503">
        <v>1219250.1000000001</v>
      </c>
      <c r="S34" s="503">
        <f t="shared" si="13"/>
        <v>1375677.4000000001</v>
      </c>
      <c r="T34" s="503">
        <f t="shared" si="14"/>
        <v>1472770.4000000001</v>
      </c>
      <c r="U34" s="503">
        <v>521.1</v>
      </c>
      <c r="V34" s="503">
        <v>323334.29999999993</v>
      </c>
      <c r="W34" s="503">
        <f t="shared" si="15"/>
        <v>366566.79999999993</v>
      </c>
      <c r="X34" s="503">
        <f t="shared" si="16"/>
        <v>1585816.9</v>
      </c>
      <c r="Y34" s="503">
        <v>1960362.7</v>
      </c>
      <c r="Z34" s="332" t="s">
        <v>601</v>
      </c>
      <c r="AA34" s="317">
        <v>0</v>
      </c>
      <c r="AB34" s="503">
        <v>27392</v>
      </c>
      <c r="AC34" s="503">
        <v>1156210.6000000001</v>
      </c>
      <c r="AD34" s="503">
        <f t="shared" si="17"/>
        <v>1183602.6000000001</v>
      </c>
      <c r="AE34" s="317">
        <v>0</v>
      </c>
      <c r="AF34" s="503">
        <v>1662.3</v>
      </c>
      <c r="AG34" s="503">
        <v>27485.9</v>
      </c>
      <c r="AH34" s="503">
        <f t="shared" si="18"/>
        <v>29148.2</v>
      </c>
      <c r="AI34" s="506">
        <v>29644</v>
      </c>
      <c r="AJ34" s="506">
        <v>316659</v>
      </c>
      <c r="AK34" s="506">
        <v>21196.3</v>
      </c>
      <c r="AL34" s="506">
        <f t="shared" si="19"/>
        <v>337855.3</v>
      </c>
      <c r="AM34" s="506">
        <f t="shared" si="20"/>
        <v>29644</v>
      </c>
      <c r="AN34" s="506">
        <f t="shared" si="20"/>
        <v>345713.3</v>
      </c>
      <c r="AO34" s="506">
        <f t="shared" si="20"/>
        <v>1204892.8</v>
      </c>
      <c r="AP34" s="506">
        <f t="shared" si="20"/>
        <v>1550606.1</v>
      </c>
      <c r="AQ34" s="332" t="s">
        <v>601</v>
      </c>
      <c r="AR34" s="503">
        <v>7042.2</v>
      </c>
      <c r="AS34" s="503">
        <v>75296.899999999994</v>
      </c>
      <c r="AT34" s="503">
        <v>39026.1</v>
      </c>
      <c r="AU34" s="503">
        <v>78.900000000000006</v>
      </c>
      <c r="AV34" s="503">
        <f>1472846.4-30.61</f>
        <v>1472815.7899999998</v>
      </c>
      <c r="AW34" s="503">
        <v>11710.4</v>
      </c>
      <c r="AX34" s="503">
        <f t="shared" si="21"/>
        <v>1484526.1899999997</v>
      </c>
      <c r="AY34" s="503">
        <f>0.04*AX32</f>
        <v>58327.949200000003</v>
      </c>
      <c r="AZ34" s="503">
        <f t="shared" si="22"/>
        <v>36810.589999999997</v>
      </c>
      <c r="BA34" s="506">
        <f>95141.5-2.9608</f>
        <v>95138.539199999999</v>
      </c>
      <c r="BB34" s="503">
        <v>4005371.6</v>
      </c>
      <c r="BC34" s="503">
        <f t="shared" si="23"/>
        <v>322810.23919999995</v>
      </c>
      <c r="BD34" s="945">
        <v>4126.8</v>
      </c>
      <c r="BE34" s="503">
        <v>27992.6</v>
      </c>
      <c r="BF34" s="503">
        <v>5827</v>
      </c>
      <c r="BG34" s="503">
        <v>312553.3</v>
      </c>
      <c r="BH34" s="503">
        <f t="shared" si="24"/>
        <v>350499.69999999995</v>
      </c>
      <c r="BI34" s="332" t="s">
        <v>601</v>
      </c>
      <c r="BJ34" s="323">
        <v>2.95</v>
      </c>
      <c r="BK34" s="323">
        <v>2.06</v>
      </c>
      <c r="BL34" s="323">
        <v>1.84</v>
      </c>
      <c r="BM34" s="323">
        <v>2.0099999999999998</v>
      </c>
      <c r="BN34" s="323">
        <v>1.6</v>
      </c>
      <c r="BO34" s="323" t="s">
        <v>306</v>
      </c>
      <c r="BP34" s="324">
        <v>3801</v>
      </c>
      <c r="BQ34" s="324">
        <v>1507</v>
      </c>
      <c r="BR34" s="324">
        <v>5428</v>
      </c>
      <c r="BS34" s="324">
        <v>67</v>
      </c>
      <c r="BT34" s="324">
        <f t="shared" si="37"/>
        <v>10803</v>
      </c>
      <c r="BU34" s="323">
        <f t="shared" si="42"/>
        <v>105.28174063098552</v>
      </c>
      <c r="BV34" s="323">
        <f t="shared" si="39"/>
        <v>136.33396186244559</v>
      </c>
      <c r="BW34" s="323">
        <f t="shared" si="40"/>
        <v>143.53476811996669</v>
      </c>
      <c r="BX34" s="323">
        <f t="shared" si="43"/>
        <v>7.6854036987205321</v>
      </c>
      <c r="BY34" s="323">
        <v>4</v>
      </c>
      <c r="BZ34" s="323">
        <v>4.08</v>
      </c>
      <c r="CA34" s="323">
        <v>7.24</v>
      </c>
      <c r="CB34" s="323">
        <f t="shared" si="27"/>
        <v>3.16</v>
      </c>
      <c r="CC34" s="323">
        <v>7.51</v>
      </c>
      <c r="CD34" s="323">
        <v>10.83</v>
      </c>
      <c r="CE34" s="323">
        <f t="shared" si="28"/>
        <v>3.3200000000000003</v>
      </c>
    </row>
    <row r="35" spans="1:83" s="177" customFormat="1" ht="11.85" customHeight="1">
      <c r="A35" s="175"/>
      <c r="B35" s="175"/>
      <c r="C35" s="175"/>
      <c r="D35" s="175"/>
      <c r="E35" s="175"/>
      <c r="F35" s="175"/>
      <c r="G35" s="175"/>
      <c r="H35" s="175"/>
      <c r="I35" s="175" t="s">
        <v>608</v>
      </c>
      <c r="J35" s="508">
        <v>224139.1</v>
      </c>
      <c r="K35" s="508">
        <v>1588.6</v>
      </c>
      <c r="L35" s="508">
        <f t="shared" si="11"/>
        <v>225727.7</v>
      </c>
      <c r="M35" s="508">
        <v>19832.5</v>
      </c>
      <c r="N35" s="508">
        <f t="shared" si="12"/>
        <v>205895.2</v>
      </c>
      <c r="O35" s="508">
        <v>34215.599999999999</v>
      </c>
      <c r="P35" s="508">
        <v>97606.2</v>
      </c>
      <c r="Q35" s="508">
        <v>158861.9</v>
      </c>
      <c r="R35" s="508">
        <v>1229200.5</v>
      </c>
      <c r="S35" s="508">
        <f t="shared" si="13"/>
        <v>1388062.4</v>
      </c>
      <c r="T35" s="508">
        <f t="shared" si="14"/>
        <v>1485668.5999999999</v>
      </c>
      <c r="U35" s="508">
        <v>502.8</v>
      </c>
      <c r="V35" s="508">
        <v>319958.2</v>
      </c>
      <c r="W35" s="508">
        <f t="shared" si="15"/>
        <v>365259.89999999997</v>
      </c>
      <c r="X35" s="508">
        <f t="shared" si="16"/>
        <v>1594460.4</v>
      </c>
      <c r="Y35" s="508">
        <v>1969268.9999999995</v>
      </c>
      <c r="Z35" s="175" t="s">
        <v>608</v>
      </c>
      <c r="AA35" s="252">
        <v>0</v>
      </c>
      <c r="AB35" s="508">
        <v>28402.400000000001</v>
      </c>
      <c r="AC35" s="508">
        <v>1164058.5</v>
      </c>
      <c r="AD35" s="508">
        <f t="shared" si="17"/>
        <v>1192460.8999999999</v>
      </c>
      <c r="AE35" s="252">
        <v>0</v>
      </c>
      <c r="AF35" s="508">
        <v>1671.1</v>
      </c>
      <c r="AG35" s="508">
        <v>28746.400000000001</v>
      </c>
      <c r="AH35" s="508">
        <f t="shared" si="18"/>
        <v>30417.5</v>
      </c>
      <c r="AI35" s="521">
        <v>29563.200000000001</v>
      </c>
      <c r="AJ35" s="521">
        <v>319525.09999999998</v>
      </c>
      <c r="AK35" s="521">
        <v>20969.8</v>
      </c>
      <c r="AL35" s="521">
        <f t="shared" si="19"/>
        <v>340494.89999999997</v>
      </c>
      <c r="AM35" s="521">
        <f t="shared" si="20"/>
        <v>29563.200000000001</v>
      </c>
      <c r="AN35" s="521">
        <f t="shared" si="20"/>
        <v>349598.6</v>
      </c>
      <c r="AO35" s="521">
        <f t="shared" si="20"/>
        <v>1213774.7</v>
      </c>
      <c r="AP35" s="521">
        <f t="shared" si="20"/>
        <v>1563373.2999999998</v>
      </c>
      <c r="AQ35" s="175" t="s">
        <v>608</v>
      </c>
      <c r="AR35" s="508">
        <v>7012.9</v>
      </c>
      <c r="AS35" s="508">
        <v>74952.2</v>
      </c>
      <c r="AT35" s="508">
        <v>40027.1</v>
      </c>
      <c r="AU35" s="508">
        <v>123.1</v>
      </c>
      <c r="AV35" s="508">
        <f>1485750.5-30.99</f>
        <v>1485719.51</v>
      </c>
      <c r="AW35" s="508">
        <v>11572</v>
      </c>
      <c r="AX35" s="508">
        <f t="shared" si="21"/>
        <v>1497291.51</v>
      </c>
      <c r="AY35" s="508">
        <f>0.04*AX33</f>
        <v>58938.486000000004</v>
      </c>
      <c r="AZ35" s="508">
        <f t="shared" si="22"/>
        <v>34786.237799999988</v>
      </c>
      <c r="BA35" s="508">
        <f>93727.7-2.9762</f>
        <v>93724.723799999992</v>
      </c>
      <c r="BB35" s="508">
        <v>4083549.8</v>
      </c>
      <c r="BC35" s="508">
        <f t="shared" ref="BC35:BC43" si="44">L35+BA35</f>
        <v>319452.42379999999</v>
      </c>
      <c r="BD35" s="255">
        <v>4126.8</v>
      </c>
      <c r="BE35" s="508">
        <v>28091.4</v>
      </c>
      <c r="BF35" s="508">
        <v>6542.3</v>
      </c>
      <c r="BG35" s="508">
        <v>314767.59999999998</v>
      </c>
      <c r="BH35" s="508">
        <f t="shared" si="24"/>
        <v>353528.1</v>
      </c>
      <c r="BI35" s="175" t="s">
        <v>608</v>
      </c>
      <c r="BJ35" s="281">
        <v>4.5</v>
      </c>
      <c r="BK35" s="281">
        <v>5.23</v>
      </c>
      <c r="BL35" s="281">
        <v>2.58</v>
      </c>
      <c r="BM35" s="281">
        <v>2.93</v>
      </c>
      <c r="BN35" s="281">
        <v>2.15</v>
      </c>
      <c r="BO35" s="281" t="s">
        <v>306</v>
      </c>
      <c r="BP35" s="422">
        <v>3801</v>
      </c>
      <c r="BQ35" s="422">
        <v>1507</v>
      </c>
      <c r="BR35" s="422">
        <v>5443</v>
      </c>
      <c r="BS35" s="422">
        <v>67</v>
      </c>
      <c r="BT35" s="422">
        <f t="shared" si="37"/>
        <v>10818</v>
      </c>
      <c r="BU35" s="281">
        <f t="shared" si="42"/>
        <v>105.22667902503345</v>
      </c>
      <c r="BV35" s="281">
        <f t="shared" si="39"/>
        <v>137.33772508781661</v>
      </c>
      <c r="BW35" s="281">
        <f t="shared" si="40"/>
        <v>144.51592715843961</v>
      </c>
      <c r="BX35" s="281">
        <f t="shared" si="43"/>
        <v>7.643247802541139</v>
      </c>
      <c r="BY35" s="281">
        <v>4</v>
      </c>
      <c r="BZ35" s="281">
        <v>4.01</v>
      </c>
      <c r="CA35" s="281">
        <v>7.15</v>
      </c>
      <c r="CB35" s="281">
        <f t="shared" si="27"/>
        <v>3.1400000000000006</v>
      </c>
      <c r="CC35" s="281">
        <v>7.55</v>
      </c>
      <c r="CD35" s="281">
        <v>10.73</v>
      </c>
      <c r="CE35" s="281">
        <f t="shared" si="28"/>
        <v>3.1800000000000006</v>
      </c>
    </row>
    <row r="36" spans="1:83" s="177" customFormat="1" ht="11.85" customHeight="1">
      <c r="A36" s="175"/>
      <c r="B36" s="175"/>
      <c r="C36" s="175"/>
      <c r="D36" s="175"/>
      <c r="E36" s="175"/>
      <c r="F36" s="175"/>
      <c r="G36" s="175"/>
      <c r="H36" s="175"/>
      <c r="I36" s="332" t="s">
        <v>609</v>
      </c>
      <c r="J36" s="503">
        <v>225421.6</v>
      </c>
      <c r="K36" s="503">
        <v>1595.5</v>
      </c>
      <c r="L36" s="503">
        <f t="shared" si="11"/>
        <v>227017.1</v>
      </c>
      <c r="M36" s="503">
        <v>18720.7</v>
      </c>
      <c r="N36" s="503">
        <f>L36-M36</f>
        <v>208296.4</v>
      </c>
      <c r="O36" s="503">
        <v>34682.400000000001</v>
      </c>
      <c r="P36" s="503">
        <v>98931.7</v>
      </c>
      <c r="Q36" s="503">
        <v>159607.4</v>
      </c>
      <c r="R36" s="503">
        <v>1234131.1000000001</v>
      </c>
      <c r="S36" s="503">
        <f t="shared" si="13"/>
        <v>1393738.5</v>
      </c>
      <c r="T36" s="503">
        <f t="shared" si="14"/>
        <v>1492670.2</v>
      </c>
      <c r="U36" s="503">
        <v>497.4</v>
      </c>
      <c r="V36" s="503">
        <v>332488.80000000005</v>
      </c>
      <c r="W36" s="503">
        <f t="shared" si="15"/>
        <v>368401.2</v>
      </c>
      <c r="X36" s="503">
        <f t="shared" si="16"/>
        <v>1602532.3</v>
      </c>
      <c r="Y36" s="503">
        <v>1978874.9</v>
      </c>
      <c r="Z36" s="332" t="s">
        <v>609</v>
      </c>
      <c r="AA36" s="317">
        <v>0</v>
      </c>
      <c r="AB36" s="503">
        <v>30374.799999999999</v>
      </c>
      <c r="AC36" s="503">
        <v>1175868.5</v>
      </c>
      <c r="AD36" s="503">
        <f t="shared" si="17"/>
        <v>1206243.3</v>
      </c>
      <c r="AE36" s="317">
        <v>0</v>
      </c>
      <c r="AF36" s="503">
        <v>1767.9</v>
      </c>
      <c r="AG36" s="503">
        <v>30478.3</v>
      </c>
      <c r="AH36" s="503">
        <f t="shared" si="18"/>
        <v>32246.2</v>
      </c>
      <c r="AI36" s="506">
        <v>30365.5</v>
      </c>
      <c r="AJ36" s="506">
        <v>320763.40000000002</v>
      </c>
      <c r="AK36" s="506">
        <v>22178.6</v>
      </c>
      <c r="AL36" s="506">
        <f t="shared" si="19"/>
        <v>342942</v>
      </c>
      <c r="AM36" s="506">
        <f t="shared" si="20"/>
        <v>30365.5</v>
      </c>
      <c r="AN36" s="506">
        <f t="shared" si="20"/>
        <v>352906.10000000003</v>
      </c>
      <c r="AO36" s="506">
        <f t="shared" si="20"/>
        <v>1228525.4000000001</v>
      </c>
      <c r="AP36" s="506">
        <f t="shared" si="20"/>
        <v>1581431.5</v>
      </c>
      <c r="AQ36" s="332" t="s">
        <v>609</v>
      </c>
      <c r="AR36" s="503">
        <v>7246.6</v>
      </c>
      <c r="AS36" s="503">
        <v>75363.100000000006</v>
      </c>
      <c r="AT36" s="503">
        <v>37050.5</v>
      </c>
      <c r="AU36" s="503">
        <v>123.2</v>
      </c>
      <c r="AV36" s="503">
        <f>1492760.1-30.95</f>
        <v>1492729.1500000001</v>
      </c>
      <c r="AW36" s="503">
        <v>12256.2</v>
      </c>
      <c r="AX36" s="503">
        <f t="shared" si="21"/>
        <v>1504985.35</v>
      </c>
      <c r="AY36" s="503">
        <f>0.04*AX34</f>
        <v>59381.047599999991</v>
      </c>
      <c r="AZ36" s="503">
        <f t="shared" si="22"/>
        <v>45588.754700000005</v>
      </c>
      <c r="BA36" s="503">
        <f>104974.3-4.4977</f>
        <v>104969.8023</v>
      </c>
      <c r="BB36" s="503">
        <v>4148172.6</v>
      </c>
      <c r="BC36" s="503">
        <f t="shared" si="44"/>
        <v>331986.90230000002</v>
      </c>
      <c r="BD36" s="945">
        <v>4126.8</v>
      </c>
      <c r="BE36" s="503">
        <v>27907.3</v>
      </c>
      <c r="BF36" s="503">
        <v>6958.7</v>
      </c>
      <c r="BG36" s="503">
        <v>316133</v>
      </c>
      <c r="BH36" s="503">
        <f t="shared" si="24"/>
        <v>355125.8</v>
      </c>
      <c r="BI36" s="332" t="s">
        <v>609</v>
      </c>
      <c r="BJ36" s="323">
        <v>8.6199999999999992</v>
      </c>
      <c r="BK36" s="323">
        <v>10.210000000000001</v>
      </c>
      <c r="BL36" s="323">
        <v>3.82</v>
      </c>
      <c r="BM36" s="323">
        <v>4.6900000000000004</v>
      </c>
      <c r="BN36" s="323">
        <v>2.63</v>
      </c>
      <c r="BO36" s="323" t="s">
        <v>306</v>
      </c>
      <c r="BP36" s="324">
        <v>3801</v>
      </c>
      <c r="BQ36" s="324">
        <v>1507</v>
      </c>
      <c r="BR36" s="324">
        <v>5467</v>
      </c>
      <c r="BS36" s="324">
        <v>67</v>
      </c>
      <c r="BT36" s="324">
        <f t="shared" si="37"/>
        <v>10842</v>
      </c>
      <c r="BU36" s="323">
        <f t="shared" si="42"/>
        <v>105.94229368402164</v>
      </c>
      <c r="BV36" s="323">
        <f t="shared" si="39"/>
        <v>137.68023888581445</v>
      </c>
      <c r="BW36" s="323">
        <f t="shared" si="40"/>
        <v>145.8616030252721</v>
      </c>
      <c r="BX36" s="323">
        <f t="shared" si="43"/>
        <v>8.286198624847648</v>
      </c>
      <c r="BY36" s="323">
        <v>4</v>
      </c>
      <c r="BZ36" s="323">
        <v>3.99</v>
      </c>
      <c r="CA36" s="323">
        <v>7.15</v>
      </c>
      <c r="CB36" s="323">
        <f t="shared" si="27"/>
        <v>3.16</v>
      </c>
      <c r="CC36" s="323">
        <v>7.52</v>
      </c>
      <c r="CD36" s="323">
        <v>10.64</v>
      </c>
      <c r="CE36" s="323">
        <f t="shared" si="28"/>
        <v>3.120000000000001</v>
      </c>
    </row>
    <row r="37" spans="1:83" s="177" customFormat="1" ht="11.85" customHeight="1">
      <c r="A37" s="175"/>
      <c r="B37" s="175"/>
      <c r="C37" s="175"/>
      <c r="D37" s="175"/>
      <c r="E37" s="175"/>
      <c r="F37" s="175"/>
      <c r="G37" s="175"/>
      <c r="H37" s="175"/>
      <c r="I37" s="175" t="s">
        <v>602</v>
      </c>
      <c r="J37" s="508">
        <v>227883.1</v>
      </c>
      <c r="K37" s="508">
        <v>1605.1</v>
      </c>
      <c r="L37" s="508">
        <f t="shared" si="11"/>
        <v>229488.2</v>
      </c>
      <c r="M37" s="508">
        <v>18765.099999999999</v>
      </c>
      <c r="N37" s="508">
        <f t="shared" si="12"/>
        <v>210723.1</v>
      </c>
      <c r="O37" s="508">
        <v>40197.5</v>
      </c>
      <c r="P37" s="508">
        <v>105697.2</v>
      </c>
      <c r="Q37" s="508">
        <v>168018.6</v>
      </c>
      <c r="R37" s="508">
        <v>1241324</v>
      </c>
      <c r="S37" s="508">
        <f t="shared" si="13"/>
        <v>1409342.6</v>
      </c>
      <c r="T37" s="508">
        <f t="shared" si="14"/>
        <v>1515039.8</v>
      </c>
      <c r="U37" s="508">
        <v>569.29999999999995</v>
      </c>
      <c r="V37" s="508">
        <v>323666.3</v>
      </c>
      <c r="W37" s="508">
        <f t="shared" si="15"/>
        <v>379311</v>
      </c>
      <c r="X37" s="508">
        <f t="shared" si="16"/>
        <v>1620635</v>
      </c>
      <c r="Y37" s="508">
        <v>1997049.6999999997</v>
      </c>
      <c r="Z37" s="175" t="s">
        <v>602</v>
      </c>
      <c r="AA37" s="252">
        <v>0</v>
      </c>
      <c r="AB37" s="508">
        <v>33387.9</v>
      </c>
      <c r="AC37" s="508">
        <v>1202693.8</v>
      </c>
      <c r="AD37" s="508">
        <f t="shared" si="17"/>
        <v>1236081.7</v>
      </c>
      <c r="AE37" s="252">
        <v>0</v>
      </c>
      <c r="AF37" s="508">
        <v>1790.4</v>
      </c>
      <c r="AG37" s="508">
        <v>29688.6</v>
      </c>
      <c r="AH37" s="508">
        <f t="shared" si="18"/>
        <v>31479</v>
      </c>
      <c r="AI37" s="521">
        <v>31563.9</v>
      </c>
      <c r="AJ37" s="521">
        <v>333765.40000000002</v>
      </c>
      <c r="AK37" s="521">
        <v>25167.8</v>
      </c>
      <c r="AL37" s="521">
        <f t="shared" si="19"/>
        <v>358933.2</v>
      </c>
      <c r="AM37" s="521">
        <f t="shared" si="20"/>
        <v>31563.9</v>
      </c>
      <c r="AN37" s="521">
        <f t="shared" si="20"/>
        <v>368943.7</v>
      </c>
      <c r="AO37" s="521">
        <f t="shared" si="20"/>
        <v>1257550.2000000002</v>
      </c>
      <c r="AP37" s="521">
        <f t="shared" si="20"/>
        <v>1626493.9</v>
      </c>
      <c r="AQ37" s="175" t="s">
        <v>602</v>
      </c>
      <c r="AR37" s="508">
        <v>8944.9</v>
      </c>
      <c r="AS37" s="508">
        <v>74935</v>
      </c>
      <c r="AT37" s="508">
        <v>36825.1</v>
      </c>
      <c r="AU37" s="508">
        <v>148.1</v>
      </c>
      <c r="AV37" s="508">
        <f>1515123.8-31.01</f>
        <v>1515092.79</v>
      </c>
      <c r="AW37" s="508">
        <v>11745.1</v>
      </c>
      <c r="AX37" s="508">
        <f t="shared" si="21"/>
        <v>1526837.8900000001</v>
      </c>
      <c r="AY37" s="508">
        <f t="shared" ref="AY37:AY39" si="45">0.04*AX35</f>
        <v>59891.660400000001</v>
      </c>
      <c r="AZ37" s="508">
        <f t="shared" ref="AZ37:AZ43" si="46">BA37-AY37</f>
        <v>33712.142700000004</v>
      </c>
      <c r="BA37" s="508">
        <f>93608.8-4.9969</f>
        <v>93603.803100000005</v>
      </c>
      <c r="BB37" s="508">
        <v>3978771.9</v>
      </c>
      <c r="BC37" s="508">
        <f t="shared" si="44"/>
        <v>323092.00310000003</v>
      </c>
      <c r="BD37" s="255">
        <v>4126.8</v>
      </c>
      <c r="BE37" s="508">
        <v>27697.5</v>
      </c>
      <c r="BF37" s="508">
        <v>8513.2000000000007</v>
      </c>
      <c r="BG37" s="508">
        <v>329180.40000000002</v>
      </c>
      <c r="BH37" s="508">
        <f t="shared" si="24"/>
        <v>369517.9</v>
      </c>
      <c r="BI37" s="175" t="s">
        <v>602</v>
      </c>
      <c r="BJ37" s="281">
        <v>6.12</v>
      </c>
      <c r="BK37" s="281">
        <v>14.59</v>
      </c>
      <c r="BL37" s="281">
        <v>6.26</v>
      </c>
      <c r="BM37" s="281">
        <v>6.41</v>
      </c>
      <c r="BN37" s="281">
        <v>3.83</v>
      </c>
      <c r="BO37" s="281" t="s">
        <v>306</v>
      </c>
      <c r="BP37" s="422">
        <v>3810</v>
      </c>
      <c r="BQ37" s="422">
        <v>1512</v>
      </c>
      <c r="BR37" s="422">
        <v>5550</v>
      </c>
      <c r="BS37" s="422">
        <v>65</v>
      </c>
      <c r="BT37" s="422">
        <f t="shared" si="37"/>
        <v>10937</v>
      </c>
      <c r="BU37" s="281">
        <f t="shared" si="42"/>
        <v>107.35275824261561</v>
      </c>
      <c r="BV37" s="281">
        <f t="shared" si="39"/>
        <v>138.52910213038311</v>
      </c>
      <c r="BW37" s="281">
        <f t="shared" si="40"/>
        <v>148.71481210569624</v>
      </c>
      <c r="BX37" s="281">
        <f t="shared" si="43"/>
        <v>7.4166350629917526</v>
      </c>
      <c r="BY37" s="281">
        <v>4</v>
      </c>
      <c r="BZ37" s="281">
        <v>3.99</v>
      </c>
      <c r="CA37" s="281">
        <v>7.18</v>
      </c>
      <c r="CB37" s="281">
        <f t="shared" si="27"/>
        <v>3.1899999999999995</v>
      </c>
      <c r="CC37" s="281">
        <v>7.62</v>
      </c>
      <c r="CD37" s="281">
        <v>10.43</v>
      </c>
      <c r="CE37" s="281">
        <f t="shared" si="28"/>
        <v>2.8099999999999996</v>
      </c>
    </row>
    <row r="38" spans="1:83" s="177" customFormat="1" ht="11.85" customHeight="1">
      <c r="A38" s="175"/>
      <c r="B38" s="175"/>
      <c r="C38" s="175"/>
      <c r="D38" s="175"/>
      <c r="E38" s="175"/>
      <c r="F38" s="175"/>
      <c r="G38" s="175"/>
      <c r="H38" s="175"/>
      <c r="I38" s="332" t="s">
        <v>610</v>
      </c>
      <c r="J38" s="503">
        <v>229783.9</v>
      </c>
      <c r="K38" s="503">
        <v>1614.1</v>
      </c>
      <c r="L38" s="503">
        <f t="shared" si="11"/>
        <v>231398</v>
      </c>
      <c r="M38" s="503">
        <v>19620.8</v>
      </c>
      <c r="N38" s="503">
        <f t="shared" si="12"/>
        <v>211777.2</v>
      </c>
      <c r="O38" s="503">
        <v>36684.300000000003</v>
      </c>
      <c r="P38" s="503">
        <v>108030.7</v>
      </c>
      <c r="Q38" s="503">
        <v>160870.29999999999</v>
      </c>
      <c r="R38" s="503">
        <v>1240883.6000000001</v>
      </c>
      <c r="S38" s="503">
        <f t="shared" si="13"/>
        <v>1401753.9000000001</v>
      </c>
      <c r="T38" s="503">
        <f t="shared" si="14"/>
        <v>1509784.6</v>
      </c>
      <c r="U38" s="503">
        <v>589.20000000000005</v>
      </c>
      <c r="V38" s="503">
        <v>323298.90000000002</v>
      </c>
      <c r="W38" s="503">
        <f t="shared" si="15"/>
        <v>373236.7</v>
      </c>
      <c r="X38" s="503">
        <f t="shared" si="16"/>
        <v>1614120.3</v>
      </c>
      <c r="Y38" s="503">
        <v>1993234.6</v>
      </c>
      <c r="Z38" s="332" t="s">
        <v>610</v>
      </c>
      <c r="AA38" s="317">
        <v>0</v>
      </c>
      <c r="AB38" s="503">
        <v>35504.300000000003</v>
      </c>
      <c r="AC38" s="503">
        <v>1202929.3999999999</v>
      </c>
      <c r="AD38" s="503">
        <f t="shared" si="17"/>
        <v>1238433.7</v>
      </c>
      <c r="AE38" s="317">
        <v>0</v>
      </c>
      <c r="AF38" s="503">
        <v>1817.6</v>
      </c>
      <c r="AG38" s="503">
        <v>32525.3</v>
      </c>
      <c r="AH38" s="503">
        <f t="shared" si="18"/>
        <v>34342.9</v>
      </c>
      <c r="AI38" s="506">
        <v>31135.599999999999</v>
      </c>
      <c r="AJ38" s="506">
        <v>329563.3</v>
      </c>
      <c r="AK38" s="506">
        <v>25069.200000000001</v>
      </c>
      <c r="AL38" s="506">
        <f t="shared" si="19"/>
        <v>354632.5</v>
      </c>
      <c r="AM38" s="506">
        <f t="shared" si="20"/>
        <v>31135.599999999999</v>
      </c>
      <c r="AN38" s="506">
        <f t="shared" si="20"/>
        <v>366885.2</v>
      </c>
      <c r="AO38" s="506">
        <f t="shared" si="20"/>
        <v>1260523.8999999999</v>
      </c>
      <c r="AP38" s="506">
        <f t="shared" si="20"/>
        <v>1627409.0999999999</v>
      </c>
      <c r="AQ38" s="332" t="s">
        <v>610</v>
      </c>
      <c r="AR38" s="503">
        <v>8757</v>
      </c>
      <c r="AS38" s="503">
        <v>78639.899999999994</v>
      </c>
      <c r="AT38" s="503">
        <v>40736</v>
      </c>
      <c r="AU38" s="503">
        <v>152.69999999999999</v>
      </c>
      <c r="AV38" s="503">
        <f>1509880.2-30.93</f>
        <v>1509849.27</v>
      </c>
      <c r="AW38" s="503">
        <v>12698.7</v>
      </c>
      <c r="AX38" s="503">
        <f t="shared" si="21"/>
        <v>1522547.97</v>
      </c>
      <c r="AY38" s="503">
        <f t="shared" si="45"/>
        <v>60199.414000000004</v>
      </c>
      <c r="AZ38" s="503">
        <f t="shared" si="46"/>
        <v>31107.684899999993</v>
      </c>
      <c r="BA38" s="503">
        <f>91311.7-4.6011</f>
        <v>91307.098899999997</v>
      </c>
      <c r="BB38" s="503">
        <v>3968534.8</v>
      </c>
      <c r="BC38" s="503">
        <f t="shared" si="44"/>
        <v>322705.09889999998</v>
      </c>
      <c r="BD38" s="945">
        <v>4126.8</v>
      </c>
      <c r="BE38" s="503">
        <v>27671.9</v>
      </c>
      <c r="BF38" s="503">
        <v>9010.5</v>
      </c>
      <c r="BG38" s="503">
        <v>324975.5</v>
      </c>
      <c r="BH38" s="503">
        <f t="shared" si="24"/>
        <v>365784.7</v>
      </c>
      <c r="BI38" s="332" t="s">
        <v>610</v>
      </c>
      <c r="BJ38" s="323">
        <v>5</v>
      </c>
      <c r="BK38" s="323">
        <v>21.19</v>
      </c>
      <c r="BL38" s="323">
        <v>6.51</v>
      </c>
      <c r="BM38" s="323">
        <v>6.58</v>
      </c>
      <c r="BN38" s="323">
        <v>3.41</v>
      </c>
      <c r="BO38" s="323" t="s">
        <v>306</v>
      </c>
      <c r="BP38" s="324">
        <v>3810</v>
      </c>
      <c r="BQ38" s="324">
        <v>1512</v>
      </c>
      <c r="BR38" s="324">
        <v>5550</v>
      </c>
      <c r="BS38" s="324">
        <v>65</v>
      </c>
      <c r="BT38" s="324">
        <f t="shared" si="37"/>
        <v>10937</v>
      </c>
      <c r="BU38" s="323">
        <f>AP38/AV38*100</f>
        <v>107.78619643270748</v>
      </c>
      <c r="BV38" s="323">
        <f t="shared" si="39"/>
        <v>138.04967267075065</v>
      </c>
      <c r="BW38" s="323">
        <f t="shared" si="40"/>
        <v>148.79849135960501</v>
      </c>
      <c r="BX38" s="323">
        <f t="shared" si="43"/>
        <v>7.3469518516904673</v>
      </c>
      <c r="BY38" s="323">
        <v>4</v>
      </c>
      <c r="BZ38" s="323">
        <v>4.01</v>
      </c>
      <c r="CA38" s="323">
        <v>7.13</v>
      </c>
      <c r="CB38" s="323">
        <f t="shared" si="27"/>
        <v>3.12</v>
      </c>
      <c r="CC38" s="323">
        <v>7.55</v>
      </c>
      <c r="CD38" s="323">
        <v>10.59</v>
      </c>
      <c r="CE38" s="323">
        <f t="shared" si="28"/>
        <v>3.04</v>
      </c>
    </row>
    <row r="39" spans="1:83" s="177" customFormat="1" ht="11.85" customHeight="1">
      <c r="A39" s="175"/>
      <c r="B39" s="175"/>
      <c r="C39" s="175"/>
      <c r="D39" s="175"/>
      <c r="E39" s="175"/>
      <c r="F39" s="175"/>
      <c r="G39" s="175"/>
      <c r="H39" s="175"/>
      <c r="I39" s="175" t="s">
        <v>611</v>
      </c>
      <c r="J39" s="508">
        <v>231253.1</v>
      </c>
      <c r="K39" s="508">
        <v>1621.5</v>
      </c>
      <c r="L39" s="508">
        <f t="shared" si="11"/>
        <v>232874.6</v>
      </c>
      <c r="M39" s="508">
        <v>20604.400000000001</v>
      </c>
      <c r="N39" s="508">
        <f t="shared" si="12"/>
        <v>212270.2</v>
      </c>
      <c r="O39" s="508">
        <v>35772.699999999997</v>
      </c>
      <c r="P39" s="508">
        <v>107170.6</v>
      </c>
      <c r="Q39" s="508">
        <v>159009.70000000001</v>
      </c>
      <c r="R39" s="508">
        <v>1249163</v>
      </c>
      <c r="S39" s="508">
        <f t="shared" si="13"/>
        <v>1408172.7</v>
      </c>
      <c r="T39" s="508">
        <f t="shared" si="14"/>
        <v>1515343.3</v>
      </c>
      <c r="U39" s="508">
        <v>493.8</v>
      </c>
      <c r="V39" s="508">
        <v>322285.09999999998</v>
      </c>
      <c r="W39" s="508">
        <f t="shared" si="15"/>
        <v>371773.7</v>
      </c>
      <c r="X39" s="508">
        <f t="shared" si="16"/>
        <v>1620936.7</v>
      </c>
      <c r="Y39" s="508">
        <v>2003903.4</v>
      </c>
      <c r="Z39" s="175" t="s">
        <v>611</v>
      </c>
      <c r="AA39" s="252">
        <v>0</v>
      </c>
      <c r="AB39" s="508">
        <v>34959.800000000003</v>
      </c>
      <c r="AC39" s="508">
        <v>1215791.3999999999</v>
      </c>
      <c r="AD39" s="508">
        <f t="shared" si="17"/>
        <v>1250751.2</v>
      </c>
      <c r="AE39" s="252">
        <v>0</v>
      </c>
      <c r="AF39" s="508">
        <v>1895.5</v>
      </c>
      <c r="AG39" s="508">
        <v>32039.9</v>
      </c>
      <c r="AH39" s="508">
        <f t="shared" si="18"/>
        <v>33935.4</v>
      </c>
      <c r="AI39" s="521">
        <v>30964.7</v>
      </c>
      <c r="AJ39" s="521">
        <v>328946.7</v>
      </c>
      <c r="AK39" s="521">
        <v>25258</v>
      </c>
      <c r="AL39" s="521">
        <f t="shared" si="19"/>
        <v>354204.7</v>
      </c>
      <c r="AM39" s="521">
        <f t="shared" si="20"/>
        <v>30964.7</v>
      </c>
      <c r="AN39" s="521">
        <f t="shared" si="20"/>
        <v>365802</v>
      </c>
      <c r="AO39" s="521">
        <f t="shared" si="20"/>
        <v>1273089.2999999998</v>
      </c>
      <c r="AP39" s="521">
        <f t="shared" si="20"/>
        <v>1638891.2999999998</v>
      </c>
      <c r="AQ39" s="175" t="s">
        <v>611</v>
      </c>
      <c r="AR39" s="508">
        <v>8036.3</v>
      </c>
      <c r="AS39" s="508">
        <v>79918.600000000006</v>
      </c>
      <c r="AT39" s="508">
        <v>41661.800000000003</v>
      </c>
      <c r="AU39" s="508">
        <v>474.8</v>
      </c>
      <c r="AV39" s="508">
        <f>1515434.3-30.25</f>
        <v>1515404.05</v>
      </c>
      <c r="AW39" s="508">
        <v>13305.3</v>
      </c>
      <c r="AX39" s="508">
        <f t="shared" si="21"/>
        <v>1528709.35</v>
      </c>
      <c r="AY39" s="508">
        <f t="shared" si="45"/>
        <v>61073.515600000006</v>
      </c>
      <c r="AZ39" s="508">
        <f t="shared" si="46"/>
        <v>27838.64669999999</v>
      </c>
      <c r="BA39" s="508">
        <f>88916.7-4.5377</f>
        <v>88912.162299999996</v>
      </c>
      <c r="BB39" s="508">
        <v>4063379.5</v>
      </c>
      <c r="BC39" s="508">
        <f t="shared" si="44"/>
        <v>321786.7623</v>
      </c>
      <c r="BD39" s="255">
        <v>4126.8</v>
      </c>
      <c r="BE39" s="508">
        <v>27787.1</v>
      </c>
      <c r="BF39" s="508">
        <v>8954.9</v>
      </c>
      <c r="BG39" s="508">
        <v>324415.5</v>
      </c>
      <c r="BH39" s="508">
        <f t="shared" si="24"/>
        <v>365284.3</v>
      </c>
      <c r="BI39" s="175" t="s">
        <v>611</v>
      </c>
      <c r="BJ39" s="281">
        <v>4.72</v>
      </c>
      <c r="BK39" s="281">
        <v>19.649999999999999</v>
      </c>
      <c r="BL39" s="281">
        <v>7.57</v>
      </c>
      <c r="BM39" s="281">
        <v>7.39</v>
      </c>
      <c r="BN39" s="281">
        <v>3.85</v>
      </c>
      <c r="BO39" s="281" t="s">
        <v>306</v>
      </c>
      <c r="BP39" s="422">
        <v>3810</v>
      </c>
      <c r="BQ39" s="422">
        <v>1512</v>
      </c>
      <c r="BR39" s="422">
        <v>5551</v>
      </c>
      <c r="BS39" s="422">
        <v>65</v>
      </c>
      <c r="BT39" s="422">
        <f t="shared" si="37"/>
        <v>10938</v>
      </c>
      <c r="BU39" s="281">
        <f t="shared" ref="BU39:BU41" si="47">AP39/AV39*100</f>
        <v>108.14880031500509</v>
      </c>
      <c r="BV39" s="281">
        <f t="shared" ref="BV39:BV43" si="48">AV39/BT39</f>
        <v>138.54489394770525</v>
      </c>
      <c r="BW39" s="281">
        <f t="shared" ref="BW39:BW43" si="49">AP39/BT39</f>
        <v>149.83464070213932</v>
      </c>
      <c r="BX39" s="281">
        <f t="shared" ref="BX39:BX41" si="50">(M39+BA39)/AV39*100</f>
        <v>7.2268885845989379</v>
      </c>
      <c r="BY39" s="281">
        <v>4</v>
      </c>
      <c r="BZ39" s="281">
        <v>4.0199999999999996</v>
      </c>
      <c r="CA39" s="281">
        <v>7.1</v>
      </c>
      <c r="CB39" s="281">
        <f t="shared" si="27"/>
        <v>3.08</v>
      </c>
      <c r="CC39" s="281">
        <v>7.35</v>
      </c>
      <c r="CD39" s="281">
        <v>10.37</v>
      </c>
      <c r="CE39" s="281">
        <f t="shared" si="28"/>
        <v>3.0199999999999996</v>
      </c>
    </row>
    <row r="40" spans="1:83" s="177" customFormat="1" ht="11.85" customHeight="1">
      <c r="A40" s="175"/>
      <c r="B40" s="175"/>
      <c r="C40" s="175"/>
      <c r="D40" s="175"/>
      <c r="E40" s="815"/>
      <c r="F40" s="815"/>
      <c r="G40" s="175"/>
      <c r="H40" s="175"/>
      <c r="I40" s="332" t="s">
        <v>603</v>
      </c>
      <c r="J40" s="503">
        <v>230291.6</v>
      </c>
      <c r="K40" s="503">
        <v>1632.2</v>
      </c>
      <c r="L40" s="503">
        <f t="shared" si="11"/>
        <v>231923.80000000002</v>
      </c>
      <c r="M40" s="503">
        <v>19237.099999999999</v>
      </c>
      <c r="N40" s="503">
        <f t="shared" si="12"/>
        <v>212686.7</v>
      </c>
      <c r="O40" s="503">
        <v>38486.800000000003</v>
      </c>
      <c r="P40" s="503">
        <v>105652.7</v>
      </c>
      <c r="Q40" s="503">
        <v>162330.1</v>
      </c>
      <c r="R40" s="503">
        <v>1254351.1000000001</v>
      </c>
      <c r="S40" s="503">
        <f t="shared" si="13"/>
        <v>1416681.2000000002</v>
      </c>
      <c r="T40" s="503">
        <f t="shared" si="14"/>
        <v>1522333.9000000001</v>
      </c>
      <c r="U40" s="503">
        <v>538.4</v>
      </c>
      <c r="V40" s="503">
        <v>321156.20000000007</v>
      </c>
      <c r="W40" s="503">
        <f t="shared" si="15"/>
        <v>375555.20000000007</v>
      </c>
      <c r="X40" s="503">
        <f t="shared" si="16"/>
        <v>1629906.3000000003</v>
      </c>
      <c r="Y40" s="503">
        <v>2015073.2</v>
      </c>
      <c r="Z40" s="332" t="s">
        <v>603</v>
      </c>
      <c r="AA40" s="317">
        <v>0</v>
      </c>
      <c r="AB40" s="503">
        <v>35907.599999999999</v>
      </c>
      <c r="AC40" s="503">
        <v>1227114.7</v>
      </c>
      <c r="AD40" s="503">
        <f t="shared" si="17"/>
        <v>1263022.3</v>
      </c>
      <c r="AE40" s="317">
        <v>0</v>
      </c>
      <c r="AF40" s="503">
        <v>1903.6</v>
      </c>
      <c r="AG40" s="503">
        <v>33119.1</v>
      </c>
      <c r="AH40" s="503">
        <f t="shared" si="18"/>
        <v>35022.699999999997</v>
      </c>
      <c r="AI40" s="506">
        <v>30946.2</v>
      </c>
      <c r="AJ40" s="506">
        <v>324861.8</v>
      </c>
      <c r="AK40" s="506">
        <v>25420.5</v>
      </c>
      <c r="AL40" s="506">
        <f t="shared" si="19"/>
        <v>350282.3</v>
      </c>
      <c r="AM40" s="506">
        <f t="shared" si="20"/>
        <v>30946.2</v>
      </c>
      <c r="AN40" s="506">
        <f t="shared" si="20"/>
        <v>362673</v>
      </c>
      <c r="AO40" s="506">
        <f t="shared" si="20"/>
        <v>1285654.3</v>
      </c>
      <c r="AP40" s="506">
        <f t="shared" si="20"/>
        <v>1648327.3</v>
      </c>
      <c r="AQ40" s="332" t="s">
        <v>603</v>
      </c>
      <c r="AR40" s="503">
        <v>7181.5</v>
      </c>
      <c r="AS40" s="503">
        <v>84572.4</v>
      </c>
      <c r="AT40" s="503">
        <v>40241.300000000003</v>
      </c>
      <c r="AU40" s="503">
        <v>162.1</v>
      </c>
      <c r="AV40" s="503">
        <f>1522422.1-30.59</f>
        <v>1522391.51</v>
      </c>
      <c r="AW40" s="503">
        <v>13324.2</v>
      </c>
      <c r="AX40" s="503">
        <f t="shared" si="21"/>
        <v>1535715.71</v>
      </c>
      <c r="AY40" s="503">
        <f>0.04*AX38</f>
        <v>60901.918799999999</v>
      </c>
      <c r="AZ40" s="503">
        <f t="shared" si="46"/>
        <v>27783.798299999995</v>
      </c>
      <c r="BA40" s="503">
        <f>88694-8.2829</f>
        <v>88685.717099999994</v>
      </c>
      <c r="BB40" s="503">
        <v>4092218.6</v>
      </c>
      <c r="BC40" s="503">
        <f t="shared" si="44"/>
        <v>320609.5171</v>
      </c>
      <c r="BD40" s="945">
        <v>4126.8</v>
      </c>
      <c r="BE40" s="503">
        <v>27480.6</v>
      </c>
      <c r="BF40" s="503">
        <v>10052.700000000001</v>
      </c>
      <c r="BG40" s="503">
        <v>320330</v>
      </c>
      <c r="BH40" s="503">
        <f t="shared" si="24"/>
        <v>361990.1</v>
      </c>
      <c r="BI40" s="332" t="s">
        <v>603</v>
      </c>
      <c r="BJ40" s="323">
        <v>6.55</v>
      </c>
      <c r="BK40" s="323">
        <v>19.190000000000001</v>
      </c>
      <c r="BL40" s="323">
        <v>8.6300000000000008</v>
      </c>
      <c r="BM40" s="323">
        <v>8.5299999999999994</v>
      </c>
      <c r="BN40" s="323">
        <v>4.42</v>
      </c>
      <c r="BO40" s="323" t="s">
        <v>306</v>
      </c>
      <c r="BP40" s="324">
        <v>3812</v>
      </c>
      <c r="BQ40" s="324">
        <v>1512</v>
      </c>
      <c r="BR40" s="324">
        <v>5553</v>
      </c>
      <c r="BS40" s="324">
        <v>65</v>
      </c>
      <c r="BT40" s="324">
        <f t="shared" si="37"/>
        <v>10942</v>
      </c>
      <c r="BU40" s="323">
        <f t="shared" si="47"/>
        <v>108.27223412458468</v>
      </c>
      <c r="BV40" s="323">
        <f t="shared" si="48"/>
        <v>139.13283768963626</v>
      </c>
      <c r="BW40" s="323">
        <f t="shared" si="49"/>
        <v>150.64223176750139</v>
      </c>
      <c r="BX40" s="323">
        <f t="shared" si="50"/>
        <v>7.0890317235150633</v>
      </c>
      <c r="BY40" s="323">
        <v>4</v>
      </c>
      <c r="BZ40" s="323">
        <v>4.01</v>
      </c>
      <c r="CA40" s="323">
        <v>7.11</v>
      </c>
      <c r="CB40" s="323">
        <f t="shared" si="27"/>
        <v>3.1000000000000005</v>
      </c>
      <c r="CC40" s="323">
        <v>7.36</v>
      </c>
      <c r="CD40" s="323">
        <v>10.220000000000001</v>
      </c>
      <c r="CE40" s="323">
        <f t="shared" si="28"/>
        <v>2.8600000000000003</v>
      </c>
    </row>
    <row r="41" spans="1:83" s="177" customFormat="1" ht="11.85" customHeight="1">
      <c r="A41" s="175"/>
      <c r="B41" s="175"/>
      <c r="C41" s="175"/>
      <c r="D41" s="175"/>
      <c r="E41" s="815"/>
      <c r="F41" s="815"/>
      <c r="G41" s="175"/>
      <c r="H41" s="175"/>
      <c r="I41" s="175" t="s">
        <v>612</v>
      </c>
      <c r="J41" s="508">
        <v>254121.9</v>
      </c>
      <c r="K41" s="508">
        <v>1643.4</v>
      </c>
      <c r="L41" s="508">
        <f t="shared" si="11"/>
        <v>255765.3</v>
      </c>
      <c r="M41" s="508">
        <v>18973.400000000001</v>
      </c>
      <c r="N41" s="508">
        <f t="shared" si="12"/>
        <v>236791.9</v>
      </c>
      <c r="O41" s="508">
        <v>34621.599999999999</v>
      </c>
      <c r="P41" s="508">
        <v>104699.9</v>
      </c>
      <c r="Q41" s="508">
        <v>165949.20000000001</v>
      </c>
      <c r="R41" s="508">
        <v>1260435.1000000001</v>
      </c>
      <c r="S41" s="508">
        <f t="shared" si="13"/>
        <v>1426384.3</v>
      </c>
      <c r="T41" s="508">
        <f t="shared" si="14"/>
        <v>1531084.2</v>
      </c>
      <c r="U41" s="508">
        <v>528.5</v>
      </c>
      <c r="V41" s="508">
        <v>339789.3</v>
      </c>
      <c r="W41" s="508">
        <f t="shared" si="15"/>
        <v>403269.6</v>
      </c>
      <c r="X41" s="508">
        <f t="shared" si="16"/>
        <v>1663704.7000000002</v>
      </c>
      <c r="Y41" s="508">
        <v>2051227</v>
      </c>
      <c r="Z41" s="175" t="s">
        <v>612</v>
      </c>
      <c r="AA41" s="252">
        <v>0</v>
      </c>
      <c r="AB41" s="508">
        <v>36425.4</v>
      </c>
      <c r="AC41" s="508">
        <v>1243034</v>
      </c>
      <c r="AD41" s="508">
        <f t="shared" si="17"/>
        <v>1279459.3999999999</v>
      </c>
      <c r="AE41" s="252">
        <v>0</v>
      </c>
      <c r="AF41" s="508">
        <v>1920.9</v>
      </c>
      <c r="AG41" s="508">
        <v>34703</v>
      </c>
      <c r="AH41" s="508">
        <f t="shared" si="18"/>
        <v>36623.9</v>
      </c>
      <c r="AI41" s="521">
        <v>30835.1</v>
      </c>
      <c r="AJ41" s="521">
        <v>324832.90000000002</v>
      </c>
      <c r="AK41" s="521">
        <v>25995.9</v>
      </c>
      <c r="AL41" s="521">
        <f t="shared" si="19"/>
        <v>350828.80000000005</v>
      </c>
      <c r="AM41" s="521">
        <f t="shared" si="20"/>
        <v>30835.1</v>
      </c>
      <c r="AN41" s="521">
        <f t="shared" si="20"/>
        <v>363179.2</v>
      </c>
      <c r="AO41" s="521">
        <f t="shared" si="20"/>
        <v>1303732.8999999999</v>
      </c>
      <c r="AP41" s="521">
        <f t="shared" si="20"/>
        <v>1666912.0999999999</v>
      </c>
      <c r="AQ41" s="175" t="s">
        <v>612</v>
      </c>
      <c r="AR41" s="508">
        <v>8845.9</v>
      </c>
      <c r="AS41" s="508">
        <v>90699.8</v>
      </c>
      <c r="AT41" s="508">
        <v>39707.5</v>
      </c>
      <c r="AU41" s="508">
        <v>351.4</v>
      </c>
      <c r="AV41" s="508">
        <f>1531149.1-30.78</f>
        <v>1531118.32</v>
      </c>
      <c r="AW41" s="508">
        <v>13964.2</v>
      </c>
      <c r="AX41" s="508">
        <f t="shared" si="21"/>
        <v>1545082.52</v>
      </c>
      <c r="AY41" s="508">
        <f>0.04*AX39</f>
        <v>61148.374000000003</v>
      </c>
      <c r="AZ41" s="508">
        <f t="shared" si="46"/>
        <v>22339.130400000002</v>
      </c>
      <c r="BA41" s="508">
        <f>83495.5-7.9956</f>
        <v>83487.504400000005</v>
      </c>
      <c r="BB41" s="508">
        <v>4152103.2</v>
      </c>
      <c r="BC41" s="508">
        <f t="shared" si="44"/>
        <v>339252.80440000002</v>
      </c>
      <c r="BD41" s="255">
        <v>6016.5</v>
      </c>
      <c r="BE41" s="508">
        <v>31711.8</v>
      </c>
      <c r="BF41" s="508">
        <v>10466.700000000001</v>
      </c>
      <c r="BG41" s="508">
        <v>320297.90000000002</v>
      </c>
      <c r="BH41" s="508">
        <f t="shared" si="24"/>
        <v>368492.9</v>
      </c>
      <c r="BI41" s="175" t="s">
        <v>612</v>
      </c>
      <c r="BJ41" s="281">
        <v>15.16</v>
      </c>
      <c r="BK41" s="281">
        <v>19.63</v>
      </c>
      <c r="BL41" s="281">
        <v>10.16</v>
      </c>
      <c r="BM41" s="281">
        <v>11.12</v>
      </c>
      <c r="BN41" s="281">
        <v>6.59</v>
      </c>
      <c r="BO41" s="281" t="s">
        <v>306</v>
      </c>
      <c r="BP41" s="422">
        <v>3812</v>
      </c>
      <c r="BQ41" s="422">
        <v>1512</v>
      </c>
      <c r="BR41" s="422">
        <v>5553</v>
      </c>
      <c r="BS41" s="422">
        <v>65</v>
      </c>
      <c r="BT41" s="422">
        <f t="shared" si="37"/>
        <v>10942</v>
      </c>
      <c r="BU41" s="281">
        <f t="shared" si="47"/>
        <v>108.8689279088503</v>
      </c>
      <c r="BV41" s="281">
        <f t="shared" si="48"/>
        <v>139.93038932553463</v>
      </c>
      <c r="BW41" s="281">
        <f t="shared" si="49"/>
        <v>152.34071467738985</v>
      </c>
      <c r="BX41" s="281">
        <f t="shared" si="50"/>
        <v>6.6918998395891442</v>
      </c>
      <c r="BY41" s="281">
        <v>4</v>
      </c>
      <c r="BZ41" s="281">
        <v>4.0199999999999996</v>
      </c>
      <c r="CA41" s="281">
        <v>7.09</v>
      </c>
      <c r="CB41" s="281">
        <f t="shared" si="27"/>
        <v>3.0700000000000003</v>
      </c>
      <c r="CC41" s="281">
        <v>7.41</v>
      </c>
      <c r="CD41" s="281">
        <v>10.09</v>
      </c>
      <c r="CE41" s="281">
        <f t="shared" si="28"/>
        <v>2.6799999999999997</v>
      </c>
    </row>
    <row r="42" spans="1:83" s="177" customFormat="1" ht="11.85" customHeight="1">
      <c r="A42" s="175"/>
      <c r="B42" s="175"/>
      <c r="C42" s="175"/>
      <c r="D42" s="175"/>
      <c r="E42" s="815"/>
      <c r="F42" s="815"/>
      <c r="G42" s="175"/>
      <c r="H42" s="175"/>
      <c r="I42" s="332" t="s">
        <v>613</v>
      </c>
      <c r="J42" s="503">
        <v>243684</v>
      </c>
      <c r="K42" s="503">
        <v>1651.4</v>
      </c>
      <c r="L42" s="503">
        <f t="shared" si="11"/>
        <v>245335.4</v>
      </c>
      <c r="M42" s="503">
        <v>20187.3</v>
      </c>
      <c r="N42" s="503">
        <f t="shared" si="12"/>
        <v>225148.1</v>
      </c>
      <c r="O42" s="503">
        <v>35499.9</v>
      </c>
      <c r="P42" s="503">
        <v>106025.4</v>
      </c>
      <c r="Q42" s="503">
        <v>169169</v>
      </c>
      <c r="R42" s="503">
        <v>1267775.8</v>
      </c>
      <c r="S42" s="503">
        <f t="shared" si="13"/>
        <v>1436944.8</v>
      </c>
      <c r="T42" s="503">
        <f t="shared" si="14"/>
        <v>1542970.2</v>
      </c>
      <c r="U42" s="503">
        <v>544.20000000000005</v>
      </c>
      <c r="V42" s="503">
        <v>330829.40000000002</v>
      </c>
      <c r="W42" s="503">
        <f t="shared" si="15"/>
        <v>394861.3</v>
      </c>
      <c r="X42" s="503">
        <f t="shared" si="16"/>
        <v>1662637.1</v>
      </c>
      <c r="Y42" s="503">
        <v>2051973.3</v>
      </c>
      <c r="Z42" s="332" t="s">
        <v>613</v>
      </c>
      <c r="AA42" s="317">
        <v>0</v>
      </c>
      <c r="AB42" s="503">
        <v>38938.6</v>
      </c>
      <c r="AC42" s="503">
        <v>1257049.8999999999</v>
      </c>
      <c r="AD42" s="503">
        <f t="shared" si="17"/>
        <v>1295988.5</v>
      </c>
      <c r="AE42" s="317">
        <v>0</v>
      </c>
      <c r="AF42" s="503">
        <v>1950.6</v>
      </c>
      <c r="AG42" s="503">
        <v>34271.300000000003</v>
      </c>
      <c r="AH42" s="503">
        <f t="shared" si="18"/>
        <v>36221.9</v>
      </c>
      <c r="AI42" s="506">
        <v>30747.5</v>
      </c>
      <c r="AJ42" s="506">
        <v>325298.40000000002</v>
      </c>
      <c r="AK42" s="506">
        <v>26321.200000000001</v>
      </c>
      <c r="AL42" s="506">
        <f t="shared" si="19"/>
        <v>351619.60000000003</v>
      </c>
      <c r="AM42" s="506">
        <f t="shared" si="20"/>
        <v>30747.5</v>
      </c>
      <c r="AN42" s="506">
        <f t="shared" si="20"/>
        <v>366187.60000000003</v>
      </c>
      <c r="AO42" s="506">
        <f t="shared" si="20"/>
        <v>1317642.3999999999</v>
      </c>
      <c r="AP42" s="506">
        <f t="shared" si="20"/>
        <v>1683830</v>
      </c>
      <c r="AQ42" s="332" t="s">
        <v>613</v>
      </c>
      <c r="AR42" s="503">
        <v>8492.6</v>
      </c>
      <c r="AS42" s="503">
        <v>92503.5</v>
      </c>
      <c r="AT42" s="503">
        <v>40746.5</v>
      </c>
      <c r="AU42" s="503">
        <v>266.60000000000002</v>
      </c>
      <c r="AV42" s="503">
        <f>1543015.5-30.69</f>
        <v>1542984.81</v>
      </c>
      <c r="AW42" s="503">
        <v>14808.8</v>
      </c>
      <c r="AX42" s="503">
        <f>AV42+AW42</f>
        <v>1557793.61</v>
      </c>
      <c r="AY42" s="503">
        <f>0.04*AX40</f>
        <v>61428.628400000001</v>
      </c>
      <c r="AZ42" s="503">
        <f t="shared" si="46"/>
        <v>23513.335800000001</v>
      </c>
      <c r="BA42" s="503">
        <f>84949.8-7.8358</f>
        <v>84941.964200000002</v>
      </c>
      <c r="BB42" s="503">
        <v>4197247.3</v>
      </c>
      <c r="BC42" s="503">
        <f t="shared" si="44"/>
        <v>330277.36420000001</v>
      </c>
      <c r="BD42" s="945">
        <v>4126.8</v>
      </c>
      <c r="BE42" s="503">
        <v>41614.699999999997</v>
      </c>
      <c r="BF42" s="503">
        <v>11978.1</v>
      </c>
      <c r="BG42" s="503">
        <v>320759</v>
      </c>
      <c r="BH42" s="503">
        <f t="shared" si="24"/>
        <v>378478.6</v>
      </c>
      <c r="BI42" s="332" t="s">
        <v>613</v>
      </c>
      <c r="BJ42" s="323">
        <v>13.64</v>
      </c>
      <c r="BK42" s="323">
        <v>22.86</v>
      </c>
      <c r="BL42" s="323">
        <v>11.32</v>
      </c>
      <c r="BM42" s="323">
        <v>11.92</v>
      </c>
      <c r="BN42" s="323">
        <v>6.52</v>
      </c>
      <c r="BO42" s="323" t="s">
        <v>306</v>
      </c>
      <c r="BP42" s="324">
        <v>3812</v>
      </c>
      <c r="BQ42" s="324">
        <v>1513</v>
      </c>
      <c r="BR42" s="324">
        <v>5560</v>
      </c>
      <c r="BS42" s="324">
        <v>65</v>
      </c>
      <c r="BT42" s="324">
        <f t="shared" si="37"/>
        <v>10950</v>
      </c>
      <c r="BU42" s="323">
        <f>AP42/AV42*100</f>
        <v>109.12809958252279</v>
      </c>
      <c r="BV42" s="323">
        <f t="shared" si="48"/>
        <v>140.91185479452056</v>
      </c>
      <c r="BW42" s="323">
        <f t="shared" si="49"/>
        <v>153.77442922374431</v>
      </c>
      <c r="BX42" s="323">
        <f>(M42+BA42)/AV42*100</f>
        <v>6.8133700032989948</v>
      </c>
      <c r="BY42" s="323">
        <v>4</v>
      </c>
      <c r="BZ42" s="323">
        <v>4.0199999999999996</v>
      </c>
      <c r="CA42" s="323">
        <v>7.08</v>
      </c>
      <c r="CB42" s="323">
        <f t="shared" si="27"/>
        <v>3.0600000000000005</v>
      </c>
      <c r="CC42" s="323">
        <v>7.45</v>
      </c>
      <c r="CD42" s="323">
        <v>10.050000000000001</v>
      </c>
      <c r="CE42" s="323">
        <f t="shared" si="28"/>
        <v>2.6000000000000005</v>
      </c>
    </row>
    <row r="43" spans="1:83" s="177" customFormat="1" ht="11.85" customHeight="1">
      <c r="A43" s="175"/>
      <c r="B43" s="175"/>
      <c r="C43" s="175"/>
      <c r="D43" s="175"/>
      <c r="E43" s="815"/>
      <c r="F43" s="815"/>
      <c r="G43" s="175"/>
      <c r="H43" s="175"/>
      <c r="I43" s="175" t="s">
        <v>604</v>
      </c>
      <c r="J43" s="508">
        <v>254519.5</v>
      </c>
      <c r="K43" s="508">
        <v>1663.3</v>
      </c>
      <c r="L43" s="508">
        <f t="shared" si="11"/>
        <v>256182.8</v>
      </c>
      <c r="M43" s="508">
        <v>19733.8</v>
      </c>
      <c r="N43" s="508">
        <f t="shared" si="12"/>
        <v>236449</v>
      </c>
      <c r="O43" s="508">
        <v>36254.9</v>
      </c>
      <c r="P43" s="508">
        <v>108918.7</v>
      </c>
      <c r="Q43" s="508">
        <v>188859.4</v>
      </c>
      <c r="R43" s="508">
        <v>1282217.5</v>
      </c>
      <c r="S43" s="508">
        <f t="shared" si="13"/>
        <v>1471076.9</v>
      </c>
      <c r="T43" s="508">
        <f t="shared" si="14"/>
        <v>1579995.5999999999</v>
      </c>
      <c r="U43" s="508">
        <v>596.4</v>
      </c>
      <c r="V43" s="508">
        <v>347162</v>
      </c>
      <c r="W43" s="508">
        <f t="shared" si="15"/>
        <v>425904.80000000005</v>
      </c>
      <c r="X43" s="508">
        <f t="shared" si="16"/>
        <v>1708122.3</v>
      </c>
      <c r="Y43" s="508">
        <v>2097973.2999999998</v>
      </c>
      <c r="Z43" s="175" t="s">
        <v>604</v>
      </c>
      <c r="AA43" s="252">
        <v>0</v>
      </c>
      <c r="AB43" s="508">
        <v>38512.6</v>
      </c>
      <c r="AC43" s="508">
        <v>1286429.5</v>
      </c>
      <c r="AD43" s="508">
        <f t="shared" si="17"/>
        <v>1324942.1000000001</v>
      </c>
      <c r="AE43" s="252">
        <v>0</v>
      </c>
      <c r="AF43" s="508">
        <v>1884.6</v>
      </c>
      <c r="AG43" s="508">
        <v>32287.9</v>
      </c>
      <c r="AH43" s="508">
        <f t="shared" si="18"/>
        <v>34172.5</v>
      </c>
      <c r="AI43" s="521">
        <v>30832</v>
      </c>
      <c r="AJ43" s="521">
        <v>334009.8</v>
      </c>
      <c r="AK43" s="521">
        <v>26582.3</v>
      </c>
      <c r="AL43" s="521">
        <f t="shared" si="19"/>
        <v>360592.1</v>
      </c>
      <c r="AM43" s="521">
        <f t="shared" si="20"/>
        <v>30832</v>
      </c>
      <c r="AN43" s="521">
        <f t="shared" si="20"/>
        <v>374407</v>
      </c>
      <c r="AO43" s="521">
        <f t="shared" si="20"/>
        <v>1345299.7</v>
      </c>
      <c r="AP43" s="521">
        <f t="shared" si="20"/>
        <v>1719706.7000000002</v>
      </c>
      <c r="AQ43" s="175" t="s">
        <v>604</v>
      </c>
      <c r="AR43" s="508">
        <v>7702.1</v>
      </c>
      <c r="AS43" s="508">
        <v>91659.8</v>
      </c>
      <c r="AT43" s="508">
        <v>42893.9</v>
      </c>
      <c r="AU43" s="508">
        <v>634.4</v>
      </c>
      <c r="AV43" s="508">
        <f>1580052.5-31.48</f>
        <v>1580021.02</v>
      </c>
      <c r="AW43" s="508">
        <v>14605</v>
      </c>
      <c r="AX43" s="508">
        <f t="shared" si="21"/>
        <v>1594626.02</v>
      </c>
      <c r="AY43" s="508">
        <f>0.04*AX41</f>
        <v>61803.300800000005</v>
      </c>
      <c r="AZ43" s="508">
        <f t="shared" si="46"/>
        <v>28571.401199999986</v>
      </c>
      <c r="BA43" s="508">
        <f>90382.9-8.198</f>
        <v>90374.70199999999</v>
      </c>
      <c r="BB43" s="508">
        <v>4276170.7</v>
      </c>
      <c r="BC43" s="508">
        <f t="shared" si="44"/>
        <v>346557.50199999998</v>
      </c>
      <c r="BD43" s="255">
        <v>4853.7</v>
      </c>
      <c r="BE43" s="508">
        <v>53503</v>
      </c>
      <c r="BF43" s="508">
        <v>11175.3</v>
      </c>
      <c r="BG43" s="508">
        <v>329468.59999999998</v>
      </c>
      <c r="BH43" s="508">
        <f t="shared" si="24"/>
        <v>399000.6</v>
      </c>
      <c r="BI43" s="175" t="s">
        <v>604</v>
      </c>
      <c r="BJ43" s="281">
        <v>28.18</v>
      </c>
      <c r="BK43" s="281">
        <v>23.92</v>
      </c>
      <c r="BL43" s="281">
        <v>13.66</v>
      </c>
      <c r="BM43" s="281">
        <v>16.100000000000001</v>
      </c>
      <c r="BN43" s="281">
        <v>9.43</v>
      </c>
      <c r="BO43" s="281" t="s">
        <v>306</v>
      </c>
      <c r="BP43" s="422">
        <v>3812</v>
      </c>
      <c r="BQ43" s="422">
        <v>1519</v>
      </c>
      <c r="BR43" s="422">
        <v>5567</v>
      </c>
      <c r="BS43" s="422">
        <v>65</v>
      </c>
      <c r="BT43" s="422">
        <f t="shared" si="37"/>
        <v>10963</v>
      </c>
      <c r="BU43" s="281">
        <f>AP43/AV43*100</f>
        <v>108.8407482072612</v>
      </c>
      <c r="BV43" s="281">
        <f t="shared" si="48"/>
        <v>144.1230520842835</v>
      </c>
      <c r="BW43" s="281">
        <f t="shared" si="49"/>
        <v>156.86460822767492</v>
      </c>
      <c r="BX43" s="281">
        <f>(M43+BA43)/AV43*100</f>
        <v>6.9687998201441639</v>
      </c>
      <c r="BY43" s="281">
        <v>4</v>
      </c>
      <c r="BZ43" s="281">
        <v>3.97</v>
      </c>
      <c r="CA43" s="281">
        <v>7.09</v>
      </c>
      <c r="CB43" s="281">
        <f t="shared" si="27"/>
        <v>3.1199999999999997</v>
      </c>
      <c r="CC43" s="281">
        <v>7.49</v>
      </c>
      <c r="CD43" s="281">
        <v>9.85</v>
      </c>
      <c r="CE43" s="281">
        <f t="shared" si="28"/>
        <v>2.3599999999999994</v>
      </c>
    </row>
    <row r="44" spans="1:83" s="177" customFormat="1" ht="12" customHeight="1">
      <c r="A44" s="175"/>
      <c r="B44" s="175"/>
      <c r="C44" s="175"/>
      <c r="D44" s="175"/>
      <c r="E44" s="175"/>
      <c r="F44" s="175"/>
      <c r="G44" s="175"/>
      <c r="H44" s="175"/>
      <c r="I44" s="334" t="s">
        <v>2482</v>
      </c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334" t="s">
        <v>2482</v>
      </c>
      <c r="AA44" s="317"/>
      <c r="AB44" s="503"/>
      <c r="AC44" s="503"/>
      <c r="AD44" s="503"/>
      <c r="AE44" s="317"/>
      <c r="AF44" s="503"/>
      <c r="AG44" s="503"/>
      <c r="AH44" s="503"/>
      <c r="AI44" s="506"/>
      <c r="AJ44" s="506"/>
      <c r="AK44" s="506"/>
      <c r="AL44" s="506"/>
      <c r="AM44" s="506"/>
      <c r="AN44" s="506"/>
      <c r="AO44" s="506"/>
      <c r="AP44" s="506"/>
      <c r="AQ44" s="334" t="s">
        <v>2482</v>
      </c>
      <c r="AR44" s="503"/>
      <c r="AS44" s="503"/>
      <c r="AT44" s="503"/>
      <c r="AU44" s="503"/>
      <c r="AV44" s="503"/>
      <c r="AW44" s="503"/>
      <c r="AX44" s="503"/>
      <c r="AY44" s="503"/>
      <c r="AZ44" s="503"/>
      <c r="BA44" s="503"/>
      <c r="BB44" s="503"/>
      <c r="BC44" s="503"/>
      <c r="BD44" s="945"/>
      <c r="BE44" s="503"/>
      <c r="BF44" s="503"/>
      <c r="BG44" s="503"/>
      <c r="BH44" s="503"/>
      <c r="BI44" s="334" t="s">
        <v>2481</v>
      </c>
      <c r="BJ44" s="323"/>
      <c r="BK44" s="323"/>
      <c r="BL44" s="323"/>
      <c r="BM44" s="323"/>
      <c r="BN44" s="323"/>
      <c r="BO44" s="323"/>
      <c r="BP44" s="324"/>
      <c r="BQ44" s="324"/>
      <c r="BR44" s="324"/>
      <c r="BS44" s="324"/>
      <c r="BT44" s="324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</row>
    <row r="45" spans="1:83" s="177" customFormat="1" ht="11.85" customHeight="1">
      <c r="A45" s="175"/>
      <c r="B45" s="175"/>
      <c r="C45" s="175"/>
      <c r="D45" s="175"/>
      <c r="E45" s="175"/>
      <c r="F45" s="175"/>
      <c r="G45" s="175"/>
      <c r="H45" s="175"/>
      <c r="I45" s="278" t="s">
        <v>606</v>
      </c>
      <c r="J45" s="508">
        <v>262931.09999999998</v>
      </c>
      <c r="K45" s="508">
        <v>1672.4</v>
      </c>
      <c r="L45" s="508">
        <f t="shared" si="11"/>
        <v>264603.5</v>
      </c>
      <c r="M45" s="508">
        <v>22577.3</v>
      </c>
      <c r="N45" s="508">
        <f t="shared" si="12"/>
        <v>242026.2</v>
      </c>
      <c r="O45" s="508">
        <v>37554.300000000003</v>
      </c>
      <c r="P45" s="508">
        <v>105683.4</v>
      </c>
      <c r="Q45" s="508">
        <v>179828.3</v>
      </c>
      <c r="R45" s="508">
        <v>1285440.5</v>
      </c>
      <c r="S45" s="508">
        <f t="shared" si="13"/>
        <v>1465268.8</v>
      </c>
      <c r="T45" s="508">
        <f t="shared" si="14"/>
        <v>1570952.2</v>
      </c>
      <c r="U45" s="508">
        <v>635.4</v>
      </c>
      <c r="V45" s="508">
        <v>344931</v>
      </c>
      <c r="W45" s="508">
        <f t="shared" si="15"/>
        <v>422489.9</v>
      </c>
      <c r="X45" s="508">
        <f t="shared" si="16"/>
        <v>1707930.4</v>
      </c>
      <c r="Y45" s="508">
        <v>2098983.5999999996</v>
      </c>
      <c r="Z45" s="278" t="s">
        <v>606</v>
      </c>
      <c r="AA45" s="252">
        <v>0</v>
      </c>
      <c r="AB45" s="508">
        <v>39456.800000000003</v>
      </c>
      <c r="AC45" s="508">
        <v>1286995.8</v>
      </c>
      <c r="AD45" s="508">
        <f t="shared" si="17"/>
        <v>1326452.6000000001</v>
      </c>
      <c r="AE45" s="252">
        <v>0</v>
      </c>
      <c r="AF45" s="508">
        <v>1831.4</v>
      </c>
      <c r="AG45" s="508">
        <v>33092</v>
      </c>
      <c r="AH45" s="508">
        <f t="shared" si="18"/>
        <v>34923.4</v>
      </c>
      <c r="AI45" s="521">
        <v>31031</v>
      </c>
      <c r="AJ45" s="521">
        <v>330136.59999999998</v>
      </c>
      <c r="AK45" s="521">
        <v>26541</v>
      </c>
      <c r="AL45" s="521">
        <f t="shared" si="19"/>
        <v>356677.6</v>
      </c>
      <c r="AM45" s="521">
        <f t="shared" ref="AM45:AM48" si="51">AA45+AE45+AI45</f>
        <v>31031</v>
      </c>
      <c r="AN45" s="521">
        <f t="shared" ref="AN45" si="52">AB45+AF45+AJ45</f>
        <v>371424.8</v>
      </c>
      <c r="AO45" s="521">
        <f t="shared" ref="AO45:AO48" si="53">AC45+AG45+AK45</f>
        <v>1346628.8</v>
      </c>
      <c r="AP45" s="521">
        <f>AD45+AH45+AL45</f>
        <v>1718053.6</v>
      </c>
      <c r="AQ45" s="278" t="s">
        <v>606</v>
      </c>
      <c r="AR45" s="508">
        <v>6122.8</v>
      </c>
      <c r="AS45" s="508">
        <v>99775.9</v>
      </c>
      <c r="AT45" s="508">
        <v>39866.1</v>
      </c>
      <c r="AU45" s="508">
        <v>584.29999999999995</v>
      </c>
      <c r="AV45" s="508">
        <f>1571009.4-29.24</f>
        <v>1570980.16</v>
      </c>
      <c r="AW45" s="508">
        <v>15707.8</v>
      </c>
      <c r="AX45" s="508">
        <f t="shared" si="21"/>
        <v>1586687.96</v>
      </c>
      <c r="AY45" s="508">
        <f>0.04*AX42</f>
        <v>62311.744400000003</v>
      </c>
      <c r="AZ45" s="508">
        <f>BA45-AY45</f>
        <v>17374.733700000004</v>
      </c>
      <c r="BA45" s="508">
        <f>79692.1-5.6219</f>
        <v>79686.478100000008</v>
      </c>
      <c r="BB45" s="508">
        <v>4308514.4000000004</v>
      </c>
      <c r="BC45" s="508">
        <f>L45+BA45</f>
        <v>344289.97810000001</v>
      </c>
      <c r="BD45" s="255">
        <v>4126.8</v>
      </c>
      <c r="BE45" s="508">
        <v>62925.2</v>
      </c>
      <c r="BF45" s="508">
        <v>11119.8</v>
      </c>
      <c r="BG45" s="508">
        <v>325596.90000000002</v>
      </c>
      <c r="BH45" s="508">
        <f t="shared" si="24"/>
        <v>403768.7</v>
      </c>
      <c r="BI45" s="278" t="s">
        <v>606</v>
      </c>
      <c r="BJ45" s="281">
        <v>-0.55000000000000004</v>
      </c>
      <c r="BK45" s="281">
        <v>2.52</v>
      </c>
      <c r="BL45" s="281">
        <v>0.1</v>
      </c>
      <c r="BM45" s="281">
        <v>0.04</v>
      </c>
      <c r="BN45" s="281">
        <v>-0.01</v>
      </c>
      <c r="BO45" s="281" t="s">
        <v>306</v>
      </c>
      <c r="BP45" s="422">
        <v>3812</v>
      </c>
      <c r="BQ45" s="422">
        <v>1519</v>
      </c>
      <c r="BR45" s="422">
        <v>5569</v>
      </c>
      <c r="BS45" s="422">
        <v>63</v>
      </c>
      <c r="BT45" s="422">
        <f t="shared" si="37"/>
        <v>10963</v>
      </c>
      <c r="BU45" s="281">
        <f>AP45/AV45*100</f>
        <v>109.36189035003474</v>
      </c>
      <c r="BV45" s="281">
        <f t="shared" ref="BV45" si="54">AV45/BT45</f>
        <v>143.29838182979111</v>
      </c>
      <c r="BW45" s="281">
        <f t="shared" ref="BW45:BW48" si="55">AP45/BT45</f>
        <v>156.71381921007026</v>
      </c>
      <c r="BX45" s="281">
        <f t="shared" ref="BX45:BX48" si="56">(M45+BA45)/AV45*100</f>
        <v>6.5095524885559346</v>
      </c>
      <c r="BY45" s="281">
        <v>4</v>
      </c>
      <c r="BZ45" s="281">
        <v>4.04</v>
      </c>
      <c r="CA45" s="281">
        <v>7.09</v>
      </c>
      <c r="CB45" s="281">
        <f t="shared" si="27"/>
        <v>3.05</v>
      </c>
      <c r="CC45" s="281">
        <v>7.46</v>
      </c>
      <c r="CD45" s="281">
        <v>9.2899999999999991</v>
      </c>
      <c r="CE45" s="281">
        <f t="shared" si="28"/>
        <v>1.8299999999999992</v>
      </c>
    </row>
    <row r="46" spans="1:83" s="177" customFormat="1" ht="11.85" customHeight="1">
      <c r="A46" s="175"/>
      <c r="B46" s="175"/>
      <c r="C46" s="175"/>
      <c r="D46" s="175"/>
      <c r="E46" s="175"/>
      <c r="F46" s="175"/>
      <c r="G46" s="175"/>
      <c r="H46" s="175"/>
      <c r="I46" s="354" t="s">
        <v>607</v>
      </c>
      <c r="J46" s="503">
        <v>261231</v>
      </c>
      <c r="K46" s="503">
        <v>1682</v>
      </c>
      <c r="L46" s="503">
        <f t="shared" si="11"/>
        <v>262913</v>
      </c>
      <c r="M46" s="503">
        <v>21036.7</v>
      </c>
      <c r="N46" s="503">
        <f>L46-M46</f>
        <v>241876.3</v>
      </c>
      <c r="O46" s="503">
        <v>35074.6</v>
      </c>
      <c r="P46" s="503">
        <v>102612.6</v>
      </c>
      <c r="Q46" s="503">
        <v>175888.8</v>
      </c>
      <c r="R46" s="503">
        <v>1292405.5</v>
      </c>
      <c r="S46" s="503">
        <f t="shared" si="13"/>
        <v>1468294.3</v>
      </c>
      <c r="T46" s="503">
        <f t="shared" si="14"/>
        <v>1570906.9000000001</v>
      </c>
      <c r="U46" s="503">
        <v>643.5</v>
      </c>
      <c r="V46" s="503">
        <v>341336.5</v>
      </c>
      <c r="W46" s="503">
        <f t="shared" ref="W46:W48" si="57">N46+Q46+U46</f>
        <v>418408.6</v>
      </c>
      <c r="X46" s="503">
        <f t="shared" ref="X46:X48" si="58">R46+W46</f>
        <v>1710814.1</v>
      </c>
      <c r="Y46" s="503">
        <v>2102773</v>
      </c>
      <c r="Z46" s="354" t="s">
        <v>607</v>
      </c>
      <c r="AA46" s="317">
        <v>0</v>
      </c>
      <c r="AB46" s="503">
        <v>42550.3</v>
      </c>
      <c r="AC46" s="503">
        <v>1298346</v>
      </c>
      <c r="AD46" s="503">
        <f t="shared" si="17"/>
        <v>1340896.3</v>
      </c>
      <c r="AE46" s="317">
        <v>0</v>
      </c>
      <c r="AF46" s="503">
        <v>1723.3</v>
      </c>
      <c r="AG46" s="503">
        <v>31292</v>
      </c>
      <c r="AH46" s="503">
        <f t="shared" si="18"/>
        <v>33015.300000000003</v>
      </c>
      <c r="AI46" s="506">
        <v>30666.1</v>
      </c>
      <c r="AJ46" s="506">
        <v>322740.5</v>
      </c>
      <c r="AK46" s="506">
        <v>26850.9</v>
      </c>
      <c r="AL46" s="506">
        <f t="shared" si="19"/>
        <v>349591.4</v>
      </c>
      <c r="AM46" s="506">
        <f t="shared" si="51"/>
        <v>30666.1</v>
      </c>
      <c r="AN46" s="506">
        <f>AB46+AF46+AJ46</f>
        <v>367014.1</v>
      </c>
      <c r="AO46" s="506">
        <f t="shared" si="53"/>
        <v>1356488.9</v>
      </c>
      <c r="AP46" s="506">
        <f>AD46+AH46+AL46</f>
        <v>1723503</v>
      </c>
      <c r="AQ46" s="354" t="s">
        <v>607</v>
      </c>
      <c r="AR46" s="503">
        <v>6507.5</v>
      </c>
      <c r="AS46" s="503">
        <v>100956.6</v>
      </c>
      <c r="AT46" s="503">
        <v>40025.4</v>
      </c>
      <c r="AU46" s="503">
        <v>729.2</v>
      </c>
      <c r="AV46" s="503">
        <f>1570966.1-9.84</f>
        <v>1570956.26</v>
      </c>
      <c r="AW46" s="503">
        <v>15024.5</v>
      </c>
      <c r="AX46" s="503">
        <f t="shared" si="21"/>
        <v>1585980.76</v>
      </c>
      <c r="AY46" s="503">
        <f>0.04*AX43</f>
        <v>63785.040800000002</v>
      </c>
      <c r="AZ46" s="503">
        <f>BA46-AY46</f>
        <v>13984.654500000004</v>
      </c>
      <c r="BA46" s="503">
        <f>77780-10.3047</f>
        <v>77769.695300000007</v>
      </c>
      <c r="BB46" s="503">
        <v>4347458.0999999996</v>
      </c>
      <c r="BC46" s="503">
        <f>L46+BA46</f>
        <v>340682.69530000002</v>
      </c>
      <c r="BD46" s="945">
        <v>4126.8</v>
      </c>
      <c r="BE46" s="503">
        <v>65225.5</v>
      </c>
      <c r="BF46" s="503">
        <v>13529.3</v>
      </c>
      <c r="BG46" s="503">
        <v>318294.40000000002</v>
      </c>
      <c r="BH46" s="503">
        <f t="shared" si="24"/>
        <v>401176</v>
      </c>
      <c r="BI46" s="354" t="s">
        <v>607</v>
      </c>
      <c r="BJ46" s="487">
        <v>1.8</v>
      </c>
      <c r="BK46" s="323">
        <v>3.81</v>
      </c>
      <c r="BL46" s="323">
        <v>0.83</v>
      </c>
      <c r="BM46" s="323">
        <v>1.06</v>
      </c>
      <c r="BN46" s="323">
        <v>0.16</v>
      </c>
      <c r="BO46" s="323" t="s">
        <v>306</v>
      </c>
      <c r="BP46" s="324">
        <v>3812</v>
      </c>
      <c r="BQ46" s="324">
        <v>1519</v>
      </c>
      <c r="BR46" s="324">
        <v>5572</v>
      </c>
      <c r="BS46" s="324">
        <v>63</v>
      </c>
      <c r="BT46" s="324">
        <f t="shared" si="37"/>
        <v>10966</v>
      </c>
      <c r="BU46" s="323">
        <f>AP46/AV46*100</f>
        <v>109.71043840520423</v>
      </c>
      <c r="BV46" s="323">
        <f t="shared" ref="BV46:BV48" si="59">AV46/BT46</f>
        <v>143.25699981761809</v>
      </c>
      <c r="BW46" s="323">
        <f t="shared" si="55"/>
        <v>157.16788254605143</v>
      </c>
      <c r="BX46" s="323">
        <f t="shared" si="56"/>
        <v>6.289570105535593</v>
      </c>
      <c r="BY46" s="323">
        <v>4</v>
      </c>
      <c r="BZ46" s="323">
        <v>4.07</v>
      </c>
      <c r="CA46" s="323">
        <v>7.11</v>
      </c>
      <c r="CB46" s="323">
        <f t="shared" si="27"/>
        <v>3.04</v>
      </c>
      <c r="CC46" s="323">
        <v>7.44</v>
      </c>
      <c r="CD46" s="323">
        <v>9.1999999999999993</v>
      </c>
      <c r="CE46" s="323">
        <f t="shared" si="28"/>
        <v>1.7599999999999989</v>
      </c>
    </row>
    <row r="47" spans="1:83" s="177" customFormat="1" ht="11.85" customHeight="1">
      <c r="A47" s="175"/>
      <c r="B47" s="175"/>
      <c r="C47" s="175"/>
      <c r="D47" s="175"/>
      <c r="E47" s="175"/>
      <c r="F47" s="175"/>
      <c r="G47" s="175"/>
      <c r="H47" s="175"/>
      <c r="I47" s="278" t="s">
        <v>601</v>
      </c>
      <c r="J47" s="508">
        <v>259946.1</v>
      </c>
      <c r="K47" s="508">
        <v>1690.6</v>
      </c>
      <c r="L47" s="508">
        <f t="shared" si="11"/>
        <v>261636.7</v>
      </c>
      <c r="M47" s="508">
        <v>21638.5</v>
      </c>
      <c r="N47" s="508">
        <f>L47-M47</f>
        <v>239998.2</v>
      </c>
      <c r="O47" s="508">
        <v>34713.9</v>
      </c>
      <c r="P47" s="508">
        <v>102039.5</v>
      </c>
      <c r="Q47" s="508">
        <v>177798.3</v>
      </c>
      <c r="R47" s="508">
        <v>1304378.7</v>
      </c>
      <c r="S47" s="508">
        <f t="shared" si="13"/>
        <v>1482177</v>
      </c>
      <c r="T47" s="508">
        <f t="shared" si="14"/>
        <v>1584216.5</v>
      </c>
      <c r="U47" s="508">
        <v>652.30000000000007</v>
      </c>
      <c r="V47" s="508">
        <v>340080.39999999997</v>
      </c>
      <c r="W47" s="508">
        <f t="shared" si="57"/>
        <v>418448.8</v>
      </c>
      <c r="X47" s="508">
        <f t="shared" si="58"/>
        <v>1722827.5</v>
      </c>
      <c r="Y47" s="508">
        <v>2114833.2000000002</v>
      </c>
      <c r="Z47" s="278" t="s">
        <v>601</v>
      </c>
      <c r="AA47" s="252">
        <v>0</v>
      </c>
      <c r="AB47" s="508">
        <v>40984.400000000001</v>
      </c>
      <c r="AC47" s="508">
        <v>1315814.3999999999</v>
      </c>
      <c r="AD47" s="508">
        <f t="shared" si="17"/>
        <v>1356798.7999999998</v>
      </c>
      <c r="AE47" s="252">
        <v>0</v>
      </c>
      <c r="AF47" s="508">
        <v>1599</v>
      </c>
      <c r="AG47" s="508">
        <v>30782</v>
      </c>
      <c r="AH47" s="508">
        <f t="shared" si="18"/>
        <v>32381</v>
      </c>
      <c r="AI47" s="521">
        <v>31087.4</v>
      </c>
      <c r="AJ47" s="521">
        <v>318335.3</v>
      </c>
      <c r="AK47" s="521">
        <v>26797.9</v>
      </c>
      <c r="AL47" s="521">
        <f t="shared" si="19"/>
        <v>345133.2</v>
      </c>
      <c r="AM47" s="521">
        <f t="shared" si="51"/>
        <v>31087.4</v>
      </c>
      <c r="AN47" s="521">
        <f>AB47+AF47+AJ47</f>
        <v>360918.7</v>
      </c>
      <c r="AO47" s="521">
        <f t="shared" si="53"/>
        <v>1373394.2999999998</v>
      </c>
      <c r="AP47" s="521">
        <f>AD47+AH47+AL47</f>
        <v>1734312.9999999998</v>
      </c>
      <c r="AQ47" s="278" t="s">
        <v>601</v>
      </c>
      <c r="AR47" s="508">
        <v>7316.3</v>
      </c>
      <c r="AS47" s="508">
        <v>99274.6</v>
      </c>
      <c r="AT47" s="508">
        <v>41852.5</v>
      </c>
      <c r="AU47" s="508">
        <v>765.1</v>
      </c>
      <c r="AV47" s="508">
        <f>1584272.1-9.77</f>
        <v>1584262.33</v>
      </c>
      <c r="AW47" s="508">
        <v>15315.6</v>
      </c>
      <c r="AX47" s="508">
        <f t="shared" si="21"/>
        <v>1599577.9300000002</v>
      </c>
      <c r="AY47" s="508">
        <f>0.04*AX45</f>
        <v>63467.518400000001</v>
      </c>
      <c r="AZ47" s="508">
        <f>BA47-AY47</f>
        <v>14317.642199999987</v>
      </c>
      <c r="BA47" s="508">
        <f>77791.4-6.2394</f>
        <v>77785.160599999988</v>
      </c>
      <c r="BB47" s="508">
        <v>4399584.0999999996</v>
      </c>
      <c r="BC47" s="508">
        <f>L47+BA47</f>
        <v>339421.86060000001</v>
      </c>
      <c r="BD47" s="255">
        <v>4787.5</v>
      </c>
      <c r="BE47" s="508">
        <v>70650.399999999994</v>
      </c>
      <c r="BF47" s="508">
        <v>12590.9</v>
      </c>
      <c r="BG47" s="508">
        <v>313793.09999999998</v>
      </c>
      <c r="BH47" s="508">
        <f t="shared" si="24"/>
        <v>401821.9</v>
      </c>
      <c r="BI47" s="278" t="s">
        <v>601</v>
      </c>
      <c r="BJ47" s="606">
        <v>3.24</v>
      </c>
      <c r="BK47" s="281">
        <v>2.6</v>
      </c>
      <c r="BL47" s="281">
        <v>2.09</v>
      </c>
      <c r="BM47" s="281">
        <v>2.29</v>
      </c>
      <c r="BN47" s="281">
        <v>0.86</v>
      </c>
      <c r="BO47" s="281" t="s">
        <v>306</v>
      </c>
      <c r="BP47" s="422">
        <v>3812</v>
      </c>
      <c r="BQ47" s="422">
        <v>1519</v>
      </c>
      <c r="BR47" s="422">
        <v>5580</v>
      </c>
      <c r="BS47" s="422">
        <v>63</v>
      </c>
      <c r="BT47" s="422">
        <f t="shared" si="37"/>
        <v>10974</v>
      </c>
      <c r="BU47" s="281">
        <f>AP47/AV47*100</f>
        <v>109.47132726434263</v>
      </c>
      <c r="BV47" s="281">
        <f t="shared" si="59"/>
        <v>144.36507472207035</v>
      </c>
      <c r="BW47" s="281">
        <f t="shared" si="55"/>
        <v>158.0383634044104</v>
      </c>
      <c r="BX47" s="281">
        <f t="shared" si="56"/>
        <v>6.2757069152808791</v>
      </c>
      <c r="BY47" s="281">
        <v>4</v>
      </c>
      <c r="BZ47" s="281">
        <v>4.09</v>
      </c>
      <c r="CA47" s="281">
        <v>7.12</v>
      </c>
      <c r="CB47" s="281">
        <f t="shared" si="27"/>
        <v>3.0300000000000002</v>
      </c>
      <c r="CC47" s="281">
        <v>7.48</v>
      </c>
      <c r="CD47" s="281">
        <v>9.11</v>
      </c>
      <c r="CE47" s="281">
        <f t="shared" si="28"/>
        <v>1.629999999999999</v>
      </c>
    </row>
    <row r="48" spans="1:83" s="177" customFormat="1" ht="11.85" customHeight="1" thickBot="1">
      <c r="A48" s="175"/>
      <c r="B48" s="175"/>
      <c r="C48" s="175"/>
      <c r="D48" s="175"/>
      <c r="E48" s="175"/>
      <c r="F48" s="175"/>
      <c r="G48" s="175"/>
      <c r="H48" s="175"/>
      <c r="I48" s="962" t="s">
        <v>608</v>
      </c>
      <c r="J48" s="1053">
        <v>256374.7</v>
      </c>
      <c r="K48" s="1053">
        <v>1698.5</v>
      </c>
      <c r="L48" s="1053">
        <f t="shared" si="11"/>
        <v>258073.2</v>
      </c>
      <c r="M48" s="1053">
        <v>21959</v>
      </c>
      <c r="N48" s="1053">
        <f>L48-M48</f>
        <v>236114.2</v>
      </c>
      <c r="O48" s="1053">
        <v>34367.4</v>
      </c>
      <c r="P48" s="1053">
        <v>101890.5</v>
      </c>
      <c r="Q48" s="1053">
        <v>178312.1</v>
      </c>
      <c r="R48" s="1053">
        <v>1311731.2</v>
      </c>
      <c r="S48" s="1053">
        <f t="shared" si="13"/>
        <v>1490043.3</v>
      </c>
      <c r="T48" s="1053">
        <f t="shared" si="14"/>
        <v>1591933.8</v>
      </c>
      <c r="U48" s="1053">
        <v>611.70000000000005</v>
      </c>
      <c r="V48" s="1053">
        <v>335476.60000000003</v>
      </c>
      <c r="W48" s="1053">
        <f t="shared" si="57"/>
        <v>415038.00000000006</v>
      </c>
      <c r="X48" s="1053">
        <f t="shared" si="58"/>
        <v>1726769.2</v>
      </c>
      <c r="Y48" s="1053">
        <v>2114814.7000000002</v>
      </c>
      <c r="Z48" s="962" t="s">
        <v>608</v>
      </c>
      <c r="AA48" s="695">
        <v>0</v>
      </c>
      <c r="AB48" s="1053">
        <v>42682.5</v>
      </c>
      <c r="AC48" s="1053">
        <v>1324983.7</v>
      </c>
      <c r="AD48" s="1053">
        <f t="shared" si="17"/>
        <v>1367666.2</v>
      </c>
      <c r="AE48" s="695">
        <v>0</v>
      </c>
      <c r="AF48" s="1053">
        <v>1514.1</v>
      </c>
      <c r="AG48" s="1053">
        <v>31165.1</v>
      </c>
      <c r="AH48" s="1053">
        <f t="shared" si="18"/>
        <v>32679.199999999997</v>
      </c>
      <c r="AI48" s="1679">
        <v>30824.5</v>
      </c>
      <c r="AJ48" s="1679">
        <v>318336.8</v>
      </c>
      <c r="AK48" s="1679">
        <v>26851.8</v>
      </c>
      <c r="AL48" s="1679">
        <f t="shared" si="19"/>
        <v>345188.6</v>
      </c>
      <c r="AM48" s="1679">
        <f t="shared" si="51"/>
        <v>30824.5</v>
      </c>
      <c r="AN48" s="1679">
        <f>AB48+AF48+AJ48</f>
        <v>362533.39999999997</v>
      </c>
      <c r="AO48" s="1679">
        <f t="shared" si="53"/>
        <v>1383000.6</v>
      </c>
      <c r="AP48" s="1679">
        <f>AD48+AH48+AL48</f>
        <v>1745534</v>
      </c>
      <c r="AQ48" s="962" t="s">
        <v>608</v>
      </c>
      <c r="AR48" s="1053">
        <v>7453.9</v>
      </c>
      <c r="AS48" s="1053">
        <v>99403</v>
      </c>
      <c r="AT48" s="1053">
        <v>41086.699999999997</v>
      </c>
      <c r="AU48" s="1053">
        <v>771.3</v>
      </c>
      <c r="AV48" s="1053">
        <f>1591989.8-9.9</f>
        <v>1591979.9000000001</v>
      </c>
      <c r="AW48" s="1053">
        <v>15989.6</v>
      </c>
      <c r="AX48" s="1053">
        <f t="shared" si="21"/>
        <v>1607969.5000000002</v>
      </c>
      <c r="AY48" s="1053">
        <f>0.04*AX46</f>
        <v>63439.2304</v>
      </c>
      <c r="AZ48" s="1053">
        <f>BA48-AY48</f>
        <v>13344.382499999992</v>
      </c>
      <c r="BA48" s="1053">
        <f>76791.7-8.0871</f>
        <v>76783.612899999993</v>
      </c>
      <c r="BB48" s="1053">
        <v>4440076.2</v>
      </c>
      <c r="BC48" s="1053">
        <f>L48+BA48</f>
        <v>334856.81290000002</v>
      </c>
      <c r="BD48" s="1680">
        <v>10126.799999999999</v>
      </c>
      <c r="BE48" s="1053">
        <v>75928.399999999994</v>
      </c>
      <c r="BF48" s="1053">
        <v>13571.7</v>
      </c>
      <c r="BG48" s="1053">
        <v>313801.2</v>
      </c>
      <c r="BH48" s="1053">
        <f t="shared" si="24"/>
        <v>413428.10000000003</v>
      </c>
      <c r="BI48" s="962" t="s">
        <v>608</v>
      </c>
      <c r="BJ48" s="1640">
        <v>7.71</v>
      </c>
      <c r="BK48" s="524">
        <v>4.28</v>
      </c>
      <c r="BL48" s="524">
        <v>2.81</v>
      </c>
      <c r="BM48" s="524">
        <v>3.67</v>
      </c>
      <c r="BN48" s="524">
        <v>1.0900000000000001</v>
      </c>
      <c r="BO48" s="524" t="s">
        <v>306</v>
      </c>
      <c r="BP48" s="1681">
        <v>3812</v>
      </c>
      <c r="BQ48" s="1681">
        <v>1519</v>
      </c>
      <c r="BR48" s="1681">
        <v>5603</v>
      </c>
      <c r="BS48" s="1681">
        <v>63</v>
      </c>
      <c r="BT48" s="1681">
        <f t="shared" si="37"/>
        <v>10997</v>
      </c>
      <c r="BU48" s="524">
        <f>AP48/AV48*100</f>
        <v>109.64547982044243</v>
      </c>
      <c r="BV48" s="524">
        <f t="shared" si="59"/>
        <v>144.76492679821772</v>
      </c>
      <c r="BW48" s="524">
        <f t="shared" si="55"/>
        <v>158.72819859961808</v>
      </c>
      <c r="BX48" s="524">
        <f t="shared" si="56"/>
        <v>6.2025037439228967</v>
      </c>
      <c r="BY48" s="524">
        <v>4</v>
      </c>
      <c r="BZ48" s="524">
        <v>4.13</v>
      </c>
      <c r="CA48" s="524">
        <v>7.15</v>
      </c>
      <c r="CB48" s="524">
        <f t="shared" si="27"/>
        <v>3.0200000000000005</v>
      </c>
      <c r="CC48" s="524">
        <v>7.49</v>
      </c>
      <c r="CD48" s="524">
        <v>9.08</v>
      </c>
      <c r="CE48" s="524">
        <f t="shared" si="28"/>
        <v>1.5899999999999999</v>
      </c>
    </row>
    <row r="49" spans="1:83" s="9" customFormat="1" ht="11.25" customHeight="1">
      <c r="I49" s="491" t="s">
        <v>1511</v>
      </c>
      <c r="J49" s="1783" t="s">
        <v>1583</v>
      </c>
      <c r="K49" s="1783"/>
      <c r="L49" s="1783"/>
      <c r="M49" s="1783"/>
      <c r="N49" s="1783"/>
      <c r="O49" s="1783"/>
      <c r="P49" s="1783"/>
      <c r="Q49" s="1783"/>
      <c r="R49" s="1085" t="s">
        <v>1515</v>
      </c>
      <c r="S49" s="1782" t="s">
        <v>194</v>
      </c>
      <c r="T49" s="1782"/>
      <c r="U49" s="1782"/>
      <c r="V49" s="1782"/>
      <c r="W49" s="1782"/>
      <c r="X49" s="1782"/>
      <c r="Y49" s="1782"/>
      <c r="Z49" s="493" t="s">
        <v>30</v>
      </c>
      <c r="AA49" s="1841" t="s">
        <v>2104</v>
      </c>
      <c r="AB49" s="1841"/>
      <c r="AC49" s="1841"/>
      <c r="AD49" s="1841"/>
      <c r="AE49" s="1841"/>
      <c r="AF49" s="1841"/>
      <c r="AG49" s="1841"/>
      <c r="AH49" s="1841"/>
      <c r="AI49" s="494" t="s">
        <v>1516</v>
      </c>
      <c r="AJ49" s="1784" t="s">
        <v>1345</v>
      </c>
      <c r="AK49" s="1784"/>
      <c r="AL49" s="1784"/>
      <c r="AM49" s="1784"/>
      <c r="AN49" s="1784"/>
      <c r="AO49" s="1784"/>
      <c r="AP49" s="1784"/>
      <c r="AQ49" s="495"/>
      <c r="AR49" s="496"/>
      <c r="AS49" s="496"/>
      <c r="AT49" s="496"/>
      <c r="AU49" s="496"/>
      <c r="AV49" s="496"/>
      <c r="AW49" s="496"/>
      <c r="AX49" s="252"/>
      <c r="AY49" s="497" t="s">
        <v>193</v>
      </c>
      <c r="AZ49" s="492" t="s">
        <v>1478</v>
      </c>
      <c r="BA49" s="490"/>
      <c r="BB49" s="490"/>
      <c r="BC49" s="490"/>
      <c r="BD49" s="490"/>
      <c r="BE49" s="490"/>
      <c r="BF49" s="490"/>
      <c r="BG49" s="490"/>
      <c r="BH49" s="490"/>
      <c r="BI49" s="498"/>
      <c r="BJ49" s="1783"/>
      <c r="BK49" s="1783"/>
      <c r="BL49" s="1783"/>
      <c r="BM49" s="1783"/>
      <c r="BN49" s="1783"/>
      <c r="BO49" s="1783"/>
      <c r="BP49" s="1783"/>
      <c r="BQ49" s="1783"/>
      <c r="BR49" s="1783"/>
      <c r="BS49" s="1783"/>
      <c r="BT49" s="490"/>
      <c r="BU49" s="491" t="s">
        <v>1106</v>
      </c>
      <c r="BV49" s="492" t="s">
        <v>1107</v>
      </c>
      <c r="BW49" s="492"/>
      <c r="BX49" s="492"/>
      <c r="BY49" s="492"/>
      <c r="BZ49" s="492"/>
      <c r="CA49" s="492"/>
      <c r="CB49" s="492"/>
      <c r="CC49" s="490"/>
      <c r="CD49" s="490"/>
      <c r="CE49" s="490"/>
    </row>
    <row r="50" spans="1:83" s="9" customFormat="1" ht="9" customHeight="1">
      <c r="I50" s="499"/>
      <c r="J50" s="1781" t="s">
        <v>2591</v>
      </c>
      <c r="K50" s="1781"/>
      <c r="L50" s="1781"/>
      <c r="M50" s="1781"/>
      <c r="N50" s="1781"/>
      <c r="O50" s="1781"/>
      <c r="P50" s="1781"/>
      <c r="Q50" s="1781"/>
      <c r="R50" s="499"/>
      <c r="S50" s="1782" t="s">
        <v>1317</v>
      </c>
      <c r="T50" s="1782"/>
      <c r="U50" s="499"/>
      <c r="V50" s="1061"/>
      <c r="W50" s="1061"/>
      <c r="X50" s="1061"/>
      <c r="Y50" s="1061"/>
      <c r="Z50" s="1279"/>
      <c r="AA50" s="706"/>
      <c r="AB50" s="706"/>
      <c r="AC50" s="706"/>
      <c r="AD50" s="706"/>
      <c r="AE50" s="706"/>
      <c r="AF50" s="706"/>
      <c r="AG50" s="706"/>
      <c r="AH50" s="706"/>
      <c r="AI50" s="492"/>
      <c r="AJ50" s="1842" t="s">
        <v>1363</v>
      </c>
      <c r="AK50" s="1842"/>
      <c r="AL50" s="1842"/>
      <c r="AM50" s="1842"/>
      <c r="AN50" s="1842"/>
      <c r="AO50" s="1842"/>
      <c r="AP50" s="1842"/>
      <c r="AQ50" s="500"/>
      <c r="AR50" s="1086"/>
      <c r="AS50" s="496"/>
      <c r="AT50" s="496"/>
      <c r="AU50" s="496"/>
      <c r="AV50" s="500"/>
      <c r="AW50" s="508"/>
      <c r="AX50" s="508"/>
      <c r="AY50" s="499"/>
      <c r="AZ50" s="1782" t="s">
        <v>1718</v>
      </c>
      <c r="BA50" s="1782"/>
      <c r="BB50" s="1782"/>
      <c r="BC50" s="1782"/>
      <c r="BD50" s="1782"/>
      <c r="BE50" s="1782"/>
      <c r="BF50" s="1782"/>
      <c r="BG50" s="1782"/>
      <c r="BH50" s="1782"/>
      <c r="BI50" s="499"/>
      <c r="BJ50" s="492"/>
      <c r="BK50" s="492"/>
      <c r="BL50" s="492"/>
      <c r="BM50" s="492"/>
      <c r="BN50" s="492"/>
      <c r="BO50" s="492"/>
      <c r="BP50" s="492"/>
      <c r="BQ50" s="492"/>
      <c r="BR50" s="492"/>
      <c r="BS50" s="492"/>
      <c r="BT50" s="499"/>
      <c r="BU50" s="499"/>
      <c r="BV50" s="499" t="s">
        <v>1445</v>
      </c>
      <c r="BW50" s="496"/>
      <c r="BX50" s="496"/>
      <c r="BY50" s="496"/>
      <c r="BZ50" s="496"/>
      <c r="CA50" s="496"/>
      <c r="CB50" s="499"/>
      <c r="CC50" s="40"/>
      <c r="CD50" s="499"/>
      <c r="CE50" s="499"/>
    </row>
    <row r="51" spans="1:83" s="9" customFormat="1" ht="9" customHeight="1">
      <c r="I51" s="490"/>
      <c r="J51" s="1782" t="s">
        <v>1443</v>
      </c>
      <c r="K51" s="1782"/>
      <c r="L51" s="1782"/>
      <c r="M51" s="1782"/>
      <c r="N51" s="1782"/>
      <c r="O51" s="1782"/>
      <c r="P51" s="1782"/>
      <c r="Q51" s="1782"/>
      <c r="R51" s="1086"/>
      <c r="S51" s="1086"/>
      <c r="T51" s="1086"/>
      <c r="U51" s="1086"/>
      <c r="V51" s="1639"/>
      <c r="W51" s="1061"/>
      <c r="X51" s="1061"/>
      <c r="Y51" s="1061"/>
      <c r="Z51" s="1279"/>
      <c r="AA51" s="1843"/>
      <c r="AB51" s="1843"/>
      <c r="AC51" s="1843"/>
      <c r="AD51" s="1843"/>
      <c r="AE51" s="1843"/>
      <c r="AF51" s="1843"/>
      <c r="AG51" s="1843"/>
      <c r="AH51" s="1843"/>
      <c r="AI51" s="496"/>
      <c r="AJ51" s="521"/>
      <c r="AK51" s="521"/>
      <c r="AL51" s="496"/>
      <c r="AM51" s="496"/>
      <c r="AN51" s="496"/>
      <c r="AO51" s="496"/>
      <c r="AP51" s="500"/>
      <c r="AQ51" s="500"/>
      <c r="AR51" s="496"/>
      <c r="AS51" s="496"/>
      <c r="AT51" s="496"/>
      <c r="AU51" s="496"/>
      <c r="AV51" s="500"/>
      <c r="AW51" s="496"/>
      <c r="AX51" s="496"/>
      <c r="AY51" s="501"/>
      <c r="AZ51" s="1782" t="s">
        <v>1477</v>
      </c>
      <c r="BA51" s="1782"/>
      <c r="BB51" s="1782"/>
      <c r="BC51" s="1782"/>
      <c r="BD51" s="1782"/>
      <c r="BE51" s="1782"/>
      <c r="BF51" s="1782"/>
      <c r="BG51" s="1782"/>
      <c r="BH51" s="1782"/>
      <c r="BI51" s="499"/>
      <c r="BJ51" s="499"/>
      <c r="BK51" s="499"/>
      <c r="BL51" s="499"/>
      <c r="BM51" s="499"/>
      <c r="BN51" s="499"/>
      <c r="BO51" s="499"/>
      <c r="BP51" s="499"/>
      <c r="BQ51" s="499"/>
      <c r="BR51" s="499"/>
      <c r="BS51" s="68"/>
      <c r="BT51" s="496"/>
      <c r="BU51" s="499"/>
      <c r="BV51" s="540" t="s">
        <v>2215</v>
      </c>
      <c r="BW51" s="540"/>
      <c r="BX51" s="496"/>
      <c r="BY51" s="496"/>
      <c r="BZ51" s="496"/>
      <c r="CA51" s="496"/>
      <c r="CB51" s="499"/>
      <c r="CC51" s="499"/>
      <c r="CD51" s="499"/>
      <c r="CE51" s="499"/>
    </row>
    <row r="52" spans="1:83" s="9" customFormat="1" ht="9" customHeight="1">
      <c r="I52" s="491" t="s">
        <v>1510</v>
      </c>
      <c r="J52" s="492" t="s">
        <v>1366</v>
      </c>
      <c r="K52" s="492"/>
      <c r="L52" s="492"/>
      <c r="M52" s="490"/>
      <c r="N52" s="490"/>
      <c r="O52" s="490"/>
      <c r="P52" s="44" t="s">
        <v>1469</v>
      </c>
      <c r="Q52" s="948"/>
      <c r="R52" s="948"/>
      <c r="S52" s="1275"/>
      <c r="T52" s="490"/>
      <c r="U52" s="499"/>
      <c r="V52" s="1061"/>
      <c r="W52" s="1061"/>
      <c r="X52" s="1061"/>
      <c r="Y52" s="1061"/>
      <c r="Z52" s="1279"/>
      <c r="AA52" s="1086"/>
      <c r="AB52" s="501"/>
      <c r="AC52" s="499"/>
      <c r="AD52" s="499"/>
      <c r="AE52" s="499"/>
      <c r="AF52" s="499"/>
      <c r="AG52" s="499"/>
      <c r="AH52" s="499"/>
      <c r="AI52" s="499"/>
      <c r="AJ52" s="521"/>
      <c r="AK52" s="521"/>
      <c r="AL52" s="499"/>
      <c r="AM52" s="499"/>
      <c r="AN52" s="499"/>
      <c r="AO52" s="499"/>
      <c r="AP52" s="499"/>
      <c r="AQ52" s="499"/>
      <c r="AR52" s="499"/>
      <c r="AS52" s="499"/>
      <c r="AT52" s="499"/>
      <c r="AU52" s="499"/>
      <c r="AV52" s="1061"/>
      <c r="AW52" s="499"/>
      <c r="AX52" s="1061"/>
      <c r="AY52" s="499"/>
      <c r="AZ52" s="1841" t="s">
        <v>1770</v>
      </c>
      <c r="BA52" s="1841"/>
      <c r="BB52" s="1841"/>
      <c r="BC52" s="1841"/>
      <c r="BD52" s="1841"/>
      <c r="BE52" s="1841"/>
      <c r="BF52" s="1841"/>
      <c r="BG52" s="1841"/>
      <c r="BH52" s="1841"/>
      <c r="BI52" s="499"/>
      <c r="BJ52" s="501"/>
      <c r="BK52" s="501"/>
      <c r="BL52" s="499"/>
      <c r="BM52" s="499"/>
      <c r="BN52" s="499"/>
      <c r="BO52" s="499"/>
      <c r="BP52" s="499"/>
      <c r="BQ52" s="499"/>
      <c r="BR52" s="499"/>
      <c r="BS52" s="68"/>
      <c r="BT52" s="499"/>
      <c r="BU52" s="491" t="s">
        <v>16</v>
      </c>
      <c r="BV52" s="501" t="s">
        <v>1366</v>
      </c>
      <c r="BW52" s="8"/>
      <c r="BX52" s="8"/>
      <c r="BY52" s="499"/>
      <c r="BZ52" s="499"/>
      <c r="CA52" s="499"/>
      <c r="CB52" s="499"/>
      <c r="CC52" s="499"/>
      <c r="CD52" s="499"/>
      <c r="CE52" s="499"/>
    </row>
    <row r="53" spans="1:8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V53" s="41"/>
      <c r="W53" s="1061"/>
      <c r="X53" s="1061"/>
      <c r="Y53" s="1061"/>
      <c r="Z53" s="1279"/>
      <c r="AB53" s="252"/>
      <c r="AX53" s="41"/>
      <c r="AY53" s="9"/>
      <c r="AZ53" s="9"/>
      <c r="BA53" s="9"/>
      <c r="BB53" s="9"/>
      <c r="BC53" s="9"/>
      <c r="BD53" s="9"/>
      <c r="BE53" s="9"/>
      <c r="BF53" s="9"/>
      <c r="BG53" s="9"/>
      <c r="BH53" s="9"/>
      <c r="BV53" s="9"/>
      <c r="BW53" s="9"/>
      <c r="BX53" s="9"/>
      <c r="BY53" s="9"/>
    </row>
    <row r="54" spans="1:83" ht="12.75">
      <c r="A54" s="9"/>
      <c r="B54" s="9"/>
      <c r="C54" s="9"/>
      <c r="D54" s="9"/>
      <c r="E54" s="9"/>
      <c r="F54" s="9"/>
      <c r="G54" s="9"/>
      <c r="H54" s="9"/>
      <c r="I54" s="175"/>
      <c r="J54" s="508"/>
      <c r="K54" s="508"/>
      <c r="L54" s="508"/>
      <c r="M54" s="508"/>
      <c r="N54" s="508"/>
      <c r="O54" s="508"/>
      <c r="P54" s="508"/>
      <c r="Q54" s="508"/>
      <c r="R54" s="508"/>
      <c r="S54" s="508"/>
      <c r="T54" s="508"/>
      <c r="U54" s="508"/>
      <c r="V54" s="41"/>
      <c r="W54" s="1061"/>
      <c r="X54" s="1061"/>
      <c r="Y54" s="1061"/>
      <c r="Z54" s="1279"/>
      <c r="AA54" s="252"/>
      <c r="AB54" s="508"/>
      <c r="AC54" s="606"/>
      <c r="AD54" s="252"/>
      <c r="AE54" s="252"/>
      <c r="AF54" s="508"/>
      <c r="AG54" s="508"/>
      <c r="AH54" s="252"/>
      <c r="AI54" s="521"/>
      <c r="AJ54" s="521"/>
      <c r="AK54" s="521"/>
      <c r="AL54" s="488"/>
      <c r="AM54" s="252"/>
      <c r="AN54" s="252"/>
      <c r="AO54" s="252"/>
      <c r="AP54" s="252"/>
      <c r="AQ54" s="175"/>
      <c r="AR54" s="508"/>
      <c r="AS54" s="508"/>
      <c r="AT54" s="508"/>
      <c r="AU54" s="508"/>
      <c r="AV54" s="508"/>
      <c r="AW54" s="508"/>
      <c r="AX54" s="252"/>
      <c r="AY54" s="252"/>
      <c r="AZ54" s="252"/>
      <c r="BA54" s="508"/>
      <c r="BB54" s="508"/>
      <c r="BC54" s="251"/>
      <c r="BD54" s="508"/>
      <c r="BE54" s="508"/>
      <c r="BF54" s="508"/>
      <c r="BG54" s="508"/>
      <c r="BH54" s="252"/>
      <c r="BI54" s="175"/>
      <c r="BJ54" s="281"/>
      <c r="BK54" s="281"/>
      <c r="BL54" s="281"/>
      <c r="BM54" s="281"/>
      <c r="BN54" s="281"/>
      <c r="BO54" s="281"/>
      <c r="BP54" s="281"/>
      <c r="BQ54" s="281"/>
      <c r="BR54" s="422"/>
      <c r="BS54" s="422"/>
      <c r="BT54" s="422"/>
      <c r="BU54" s="281"/>
      <c r="BV54" s="281"/>
      <c r="BW54" s="281"/>
      <c r="BX54" s="281"/>
      <c r="BY54" s="281"/>
      <c r="BZ54" s="1046"/>
      <c r="CA54" s="1046"/>
      <c r="CB54" s="1046"/>
      <c r="CC54" s="1046"/>
      <c r="CD54" s="281"/>
      <c r="CE54" s="281"/>
    </row>
    <row r="55" spans="1:83" ht="12.7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41"/>
      <c r="W55" s="1061"/>
      <c r="X55" s="1061"/>
      <c r="Y55" s="9"/>
      <c r="Z55" s="1279"/>
      <c r="AA55" s="9"/>
      <c r="AB55" s="9"/>
      <c r="AC55" s="9"/>
      <c r="AD55" s="9"/>
      <c r="AE55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154"/>
      <c r="AY55" s="9"/>
      <c r="AZ55" s="154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</row>
    <row r="56" spans="1:83">
      <c r="I56" s="9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41"/>
      <c r="W56" s="1061"/>
      <c r="X56" s="1061"/>
      <c r="Y56" s="1061"/>
      <c r="Z56" s="1279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866"/>
      <c r="BC56" s="154"/>
      <c r="BD56" s="154"/>
      <c r="BE56" s="154"/>
      <c r="BF56" s="154"/>
      <c r="BG56" s="154"/>
      <c r="BH56" s="154"/>
      <c r="BI56" s="154"/>
      <c r="BJ56" s="154"/>
      <c r="BK56" s="154"/>
      <c r="BL56" s="154"/>
      <c r="BM56" s="154"/>
      <c r="BN56" s="154"/>
      <c r="BO56" s="154"/>
      <c r="BP56" s="154"/>
      <c r="BQ56" s="154"/>
      <c r="BR56" s="154"/>
      <c r="BS56" s="154"/>
      <c r="BT56" s="154"/>
      <c r="BU56" s="154"/>
      <c r="BV56" s="154"/>
      <c r="BW56" s="154"/>
      <c r="BX56" s="154"/>
      <c r="BY56" s="154"/>
      <c r="BZ56" s="154"/>
      <c r="CA56" s="154"/>
      <c r="CB56" s="154"/>
      <c r="CC56" s="154"/>
      <c r="CD56" s="154"/>
      <c r="CE56" s="154"/>
    </row>
    <row r="57" spans="1:83">
      <c r="I57" s="9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41"/>
      <c r="W57" s="1061"/>
      <c r="X57" s="1061"/>
      <c r="Y57" s="1061"/>
      <c r="Z57" s="1279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71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9"/>
      <c r="BF57" s="9"/>
      <c r="BG57" s="9"/>
      <c r="BH57" s="9"/>
      <c r="BI57" s="171"/>
      <c r="BJ57" s="9"/>
      <c r="BK57" s="9"/>
      <c r="BL57" s="9"/>
      <c r="BM57" s="9"/>
      <c r="BN57" s="9"/>
      <c r="BO57" s="9"/>
      <c r="BP57" s="9"/>
      <c r="BS57" s="869"/>
      <c r="BT57" s="9"/>
      <c r="BU57" s="9"/>
      <c r="BV57" s="9"/>
      <c r="BW57" s="9"/>
      <c r="BX57" s="9"/>
      <c r="BY57" s="9"/>
      <c r="BZ57" s="9"/>
      <c r="CA57" s="9"/>
      <c r="CB57" s="171"/>
      <c r="CC57" s="9"/>
      <c r="CD57" s="9"/>
      <c r="CE57" s="9"/>
    </row>
    <row r="58" spans="1:83"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1061"/>
      <c r="X58" s="1061"/>
      <c r="Y58" s="1061"/>
      <c r="Z58" s="1279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90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189"/>
      <c r="BC58" s="41"/>
      <c r="BD58" s="41"/>
      <c r="BE58" s="41"/>
      <c r="BF58" s="41"/>
      <c r="BG58" s="41"/>
      <c r="BH58" s="41"/>
      <c r="BI58" s="90"/>
      <c r="BJ58" s="41"/>
      <c r="BK58" s="41"/>
      <c r="BL58" s="41"/>
      <c r="BM58" s="41"/>
      <c r="BN58" s="41"/>
      <c r="BO58" s="41"/>
      <c r="BP58" s="374"/>
      <c r="BQ58" s="374"/>
      <c r="BR58" s="41"/>
      <c r="BS58" s="869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</row>
    <row r="59" spans="1:83">
      <c r="V59" s="41"/>
      <c r="W59" s="1061"/>
      <c r="X59" s="1061"/>
      <c r="Z59" s="1279"/>
      <c r="AE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U59" s="90"/>
      <c r="BV59" s="90"/>
      <c r="BW59" s="90"/>
      <c r="BX59" s="90"/>
    </row>
    <row r="60" spans="1:83">
      <c r="V60" s="41"/>
      <c r="W60" s="1061"/>
      <c r="X60" s="1061"/>
      <c r="Z60" s="1279"/>
      <c r="AM60" s="41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1"/>
      <c r="W61" s="1061"/>
      <c r="X61" s="1061"/>
      <c r="Z61" s="1279"/>
      <c r="AD61" s="41"/>
      <c r="AE61" s="41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1"/>
      <c r="W62" s="1061"/>
      <c r="Z62" s="1279"/>
      <c r="AD62" s="41"/>
      <c r="AE62" s="41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1"/>
      <c r="W63" s="1061"/>
      <c r="Z63" s="1279"/>
      <c r="AD63" s="41"/>
      <c r="AE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1"/>
      <c r="W64" s="1061"/>
      <c r="Z64" s="1279"/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</row>
    <row r="69" spans="10:83"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</row>
    <row r="70" spans="10:83"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</row>
    <row r="71" spans="10:83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 ht="12.75" customHeight="1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 ht="12" customHeight="1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 ht="15" customHeight="1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2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2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>
      <c r="AD79" s="41"/>
      <c r="AE79" s="41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1"/>
      <c r="AE80" s="41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1"/>
      <c r="AE81" s="41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49:Y49"/>
    <mergeCell ref="AA49:AH49"/>
    <mergeCell ref="S50:T50"/>
    <mergeCell ref="AJ50:AP50"/>
    <mergeCell ref="J51:Q51"/>
    <mergeCell ref="AA51:AH51"/>
    <mergeCell ref="AZ52:BH52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V3:AX3"/>
    <mergeCell ref="AU4:AU5"/>
    <mergeCell ref="R4:S4"/>
    <mergeCell ref="Y4:Y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J50:Q50"/>
    <mergeCell ref="AZ51:BH51"/>
    <mergeCell ref="J49:Q49"/>
    <mergeCell ref="AZ50:BH50"/>
    <mergeCell ref="AJ49:AP49"/>
    <mergeCell ref="BJ49:BS49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8" priority="123" stopIfTrue="1">
      <formula>MOD(ROW(),2)=1</formula>
    </cfRule>
  </conditionalFormatting>
  <conditionalFormatting sqref="Z14 AQ14 BI14 I14">
    <cfRule type="expression" dxfId="7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45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U37" activePane="bottomRight" state="frozen"/>
      <selection activeCell="F85" sqref="F85"/>
      <selection pane="topRight" activeCell="F85" sqref="F85"/>
      <selection pane="bottomLeft" activeCell="F85" sqref="F85"/>
      <selection pane="bottomRight" activeCell="AB42" sqref="AB42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6" customFormat="1" ht="27.75" customHeight="1">
      <c r="A2" s="2301" t="s">
        <v>1124</v>
      </c>
      <c r="B2" s="2301"/>
      <c r="C2" s="2301"/>
      <c r="D2" s="2301"/>
      <c r="E2" s="2301"/>
      <c r="F2" s="2302" t="s">
        <v>1211</v>
      </c>
      <c r="G2" s="2302"/>
      <c r="H2" s="1126"/>
      <c r="I2" s="2302" t="s">
        <v>930</v>
      </c>
      <c r="J2" s="2302"/>
      <c r="K2" s="2302"/>
      <c r="L2" s="2302"/>
      <c r="M2" s="2302"/>
      <c r="N2" s="2302"/>
      <c r="O2" s="2311" t="s">
        <v>897</v>
      </c>
      <c r="P2" s="2311"/>
      <c r="Q2" s="2311"/>
      <c r="R2" s="2302" t="s">
        <v>1211</v>
      </c>
      <c r="S2" s="2302"/>
      <c r="T2" s="2301" t="s">
        <v>896</v>
      </c>
      <c r="U2" s="2301"/>
      <c r="V2" s="2301"/>
      <c r="W2" s="2301"/>
      <c r="X2" s="2301"/>
      <c r="Y2" s="2301"/>
      <c r="Z2" s="2302" t="s">
        <v>1212</v>
      </c>
      <c r="AA2" s="2302"/>
      <c r="AB2" s="2302"/>
    </row>
    <row r="3" spans="1:28" s="46" customFormat="1" ht="21.75" customHeight="1">
      <c r="A3" s="2306" t="s">
        <v>897</v>
      </c>
      <c r="B3" s="2306"/>
      <c r="C3" s="2306"/>
      <c r="D3" s="2306"/>
      <c r="E3" s="2306"/>
      <c r="F3" s="2295" t="s">
        <v>24</v>
      </c>
      <c r="G3" s="2295"/>
      <c r="H3" s="75"/>
      <c r="K3" s="72"/>
      <c r="L3" s="72"/>
      <c r="M3" s="2127"/>
      <c r="N3" s="2127"/>
      <c r="O3" s="127"/>
      <c r="P3" s="127"/>
      <c r="R3" s="2127" t="s">
        <v>24</v>
      </c>
      <c r="S3" s="2127"/>
      <c r="T3" s="2310" t="s">
        <v>1125</v>
      </c>
      <c r="U3" s="2310"/>
      <c r="V3" s="2310"/>
      <c r="W3" s="2310"/>
      <c r="X3" s="2310"/>
      <c r="Y3" s="2310"/>
      <c r="Z3" s="2310"/>
      <c r="AA3" s="2127" t="s">
        <v>24</v>
      </c>
      <c r="AB3" s="2127"/>
    </row>
    <row r="4" spans="1:28" s="147" customFormat="1" ht="16.5" customHeight="1">
      <c r="A4" s="2303" t="s">
        <v>527</v>
      </c>
      <c r="B4" s="2304" t="s">
        <v>895</v>
      </c>
      <c r="C4" s="2304"/>
      <c r="D4" s="2304"/>
      <c r="E4" s="2304"/>
      <c r="F4" s="2304"/>
      <c r="G4" s="2304"/>
      <c r="H4" s="2112" t="s">
        <v>527</v>
      </c>
      <c r="I4" s="2184" t="s">
        <v>933</v>
      </c>
      <c r="J4" s="2185"/>
      <c r="K4" s="2185"/>
      <c r="L4" s="2185"/>
      <c r="M4" s="2185"/>
      <c r="N4" s="2185"/>
      <c r="O4" s="2185"/>
      <c r="P4" s="2185"/>
      <c r="Q4" s="2185"/>
      <c r="R4" s="2186"/>
      <c r="S4" s="2112" t="s">
        <v>527</v>
      </c>
      <c r="T4" s="2188" t="s">
        <v>527</v>
      </c>
      <c r="U4" s="2184" t="s">
        <v>75</v>
      </c>
      <c r="V4" s="2185"/>
      <c r="W4" s="2185"/>
      <c r="X4" s="2186"/>
      <c r="Y4" s="2185" t="s">
        <v>76</v>
      </c>
      <c r="Z4" s="2185"/>
      <c r="AA4" s="2185"/>
      <c r="AB4" s="2186"/>
    </row>
    <row r="5" spans="1:28" s="129" customFormat="1" ht="12.75" customHeight="1">
      <c r="A5" s="2113"/>
      <c r="B5" s="2305" t="s">
        <v>898</v>
      </c>
      <c r="C5" s="2305"/>
      <c r="D5" s="2305"/>
      <c r="E5" s="2305"/>
      <c r="F5" s="2297" t="s">
        <v>929</v>
      </c>
      <c r="G5" s="2297"/>
      <c r="H5" s="2113"/>
      <c r="I5" s="2115" t="s">
        <v>929</v>
      </c>
      <c r="J5" s="2308"/>
      <c r="K5" s="2305" t="s">
        <v>147</v>
      </c>
      <c r="L5" s="2305"/>
      <c r="M5" s="2305"/>
      <c r="N5" s="2305"/>
      <c r="O5" s="2115" t="s">
        <v>523</v>
      </c>
      <c r="P5" s="2308"/>
      <c r="Q5" s="2308"/>
      <c r="R5" s="2309"/>
      <c r="S5" s="2113"/>
      <c r="T5" s="2188"/>
      <c r="U5" s="2126" t="s">
        <v>880</v>
      </c>
      <c r="V5" s="2126" t="s">
        <v>1306</v>
      </c>
      <c r="W5" s="2126" t="s">
        <v>853</v>
      </c>
      <c r="X5" s="2126" t="s">
        <v>77</v>
      </c>
      <c r="Y5" s="2126" t="s">
        <v>881</v>
      </c>
      <c r="Z5" s="2088" t="s">
        <v>74</v>
      </c>
      <c r="AA5" s="2126" t="s">
        <v>29</v>
      </c>
      <c r="AB5" s="2080" t="s">
        <v>855</v>
      </c>
    </row>
    <row r="6" spans="1:28" s="86" customFormat="1" ht="25.5" customHeight="1">
      <c r="A6" s="2114"/>
      <c r="B6" s="1106" t="s">
        <v>73</v>
      </c>
      <c r="C6" s="1106" t="s">
        <v>74</v>
      </c>
      <c r="D6" s="1106" t="s">
        <v>29</v>
      </c>
      <c r="E6" s="1106" t="s">
        <v>850</v>
      </c>
      <c r="F6" s="1106" t="s">
        <v>73</v>
      </c>
      <c r="G6" s="1106" t="s">
        <v>74</v>
      </c>
      <c r="H6" s="2114"/>
      <c r="I6" s="1106" t="s">
        <v>879</v>
      </c>
      <c r="J6" s="1106" t="s">
        <v>851</v>
      </c>
      <c r="K6" s="1106" t="s">
        <v>854</v>
      </c>
      <c r="L6" s="1106" t="s">
        <v>74</v>
      </c>
      <c r="M6" s="1106" t="s">
        <v>29</v>
      </c>
      <c r="N6" s="1106" t="s">
        <v>878</v>
      </c>
      <c r="O6" s="1106" t="s">
        <v>899</v>
      </c>
      <c r="P6" s="1106" t="s">
        <v>74</v>
      </c>
      <c r="Q6" s="1106" t="s">
        <v>852</v>
      </c>
      <c r="R6" s="1106" t="s">
        <v>934</v>
      </c>
      <c r="S6" s="2114"/>
      <c r="T6" s="2188"/>
      <c r="U6" s="2126"/>
      <c r="V6" s="2126"/>
      <c r="W6" s="2126"/>
      <c r="X6" s="2126"/>
      <c r="Y6" s="2126"/>
      <c r="Z6" s="2138"/>
      <c r="AA6" s="2126"/>
      <c r="AB6" s="2080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589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5">
        <v>1994</v>
      </c>
      <c r="B8" s="356">
        <v>1702.56</v>
      </c>
      <c r="C8" s="356">
        <v>1683.24</v>
      </c>
      <c r="D8" s="356">
        <v>18.82</v>
      </c>
      <c r="E8" s="355">
        <v>63804</v>
      </c>
      <c r="F8" s="356">
        <v>242.36</v>
      </c>
      <c r="G8" s="356">
        <v>105.74</v>
      </c>
      <c r="H8" s="355">
        <v>1994</v>
      </c>
      <c r="I8" s="356">
        <v>68.319999999999993</v>
      </c>
      <c r="J8" s="355">
        <v>888</v>
      </c>
      <c r="K8" s="356">
        <v>851.89</v>
      </c>
      <c r="L8" s="356">
        <v>801.25</v>
      </c>
      <c r="M8" s="356">
        <v>14.8</v>
      </c>
      <c r="N8" s="355">
        <v>18794</v>
      </c>
      <c r="O8" s="356">
        <v>2796.81</v>
      </c>
      <c r="P8" s="356">
        <v>2590.23</v>
      </c>
      <c r="Q8" s="356">
        <v>101.94</v>
      </c>
      <c r="R8" s="355">
        <v>83486</v>
      </c>
      <c r="S8" s="355">
        <v>1994</v>
      </c>
      <c r="T8" s="357" t="s">
        <v>590</v>
      </c>
      <c r="U8" s="356">
        <v>838.06</v>
      </c>
      <c r="V8" s="356">
        <v>239.33</v>
      </c>
      <c r="W8" s="356">
        <v>598.73</v>
      </c>
      <c r="X8" s="355">
        <v>6345</v>
      </c>
      <c r="Y8" s="356">
        <v>310.63</v>
      </c>
      <c r="Z8" s="356">
        <v>617.73</v>
      </c>
      <c r="AA8" s="356">
        <v>-307.10000000000002</v>
      </c>
      <c r="AB8" s="355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591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5">
        <v>1996</v>
      </c>
      <c r="B10" s="356">
        <v>2249.11</v>
      </c>
      <c r="C10" s="356">
        <v>2220.5</v>
      </c>
      <c r="D10" s="356">
        <v>28.11</v>
      </c>
      <c r="E10" s="355">
        <v>63731</v>
      </c>
      <c r="F10" s="356">
        <v>408.46</v>
      </c>
      <c r="G10" s="356">
        <v>221.73</v>
      </c>
      <c r="H10" s="355">
        <v>1996</v>
      </c>
      <c r="I10" s="356">
        <v>98.72</v>
      </c>
      <c r="J10" s="355">
        <v>1016</v>
      </c>
      <c r="K10" s="356">
        <v>1132.23</v>
      </c>
      <c r="L10" s="356">
        <v>939.75</v>
      </c>
      <c r="M10" s="356">
        <v>131.49</v>
      </c>
      <c r="N10" s="355">
        <v>21140</v>
      </c>
      <c r="O10" s="356">
        <v>3789.8</v>
      </c>
      <c r="P10" s="356">
        <v>3381.98</v>
      </c>
      <c r="Q10" s="356">
        <v>258.32</v>
      </c>
      <c r="R10" s="355">
        <v>85887</v>
      </c>
      <c r="S10" s="355">
        <v>1996</v>
      </c>
      <c r="T10" s="357" t="s">
        <v>592</v>
      </c>
      <c r="U10" s="356">
        <v>936.03</v>
      </c>
      <c r="V10" s="356">
        <v>301.69</v>
      </c>
      <c r="W10" s="356">
        <v>634.34</v>
      </c>
      <c r="X10" s="355">
        <v>6215</v>
      </c>
      <c r="Y10" s="356">
        <v>410.88</v>
      </c>
      <c r="Z10" s="356">
        <v>615.38</v>
      </c>
      <c r="AA10" s="356">
        <v>-204.5</v>
      </c>
      <c r="AB10" s="355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593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5">
        <v>1998</v>
      </c>
      <c r="B12" s="356">
        <v>2815.17</v>
      </c>
      <c r="C12" s="356">
        <v>2808.69</v>
      </c>
      <c r="D12" s="356">
        <v>-5.98</v>
      </c>
      <c r="E12" s="355">
        <v>63583</v>
      </c>
      <c r="F12" s="356">
        <v>585.59</v>
      </c>
      <c r="G12" s="356">
        <v>326.62</v>
      </c>
      <c r="H12" s="355">
        <v>1998</v>
      </c>
      <c r="I12" s="356">
        <v>149.43</v>
      </c>
      <c r="J12" s="355">
        <v>1262</v>
      </c>
      <c r="K12" s="356">
        <v>1696.46</v>
      </c>
      <c r="L12" s="356">
        <v>1457.83</v>
      </c>
      <c r="M12" s="356">
        <v>158.35</v>
      </c>
      <c r="N12" s="355">
        <v>22893</v>
      </c>
      <c r="O12" s="356">
        <v>5097.22</v>
      </c>
      <c r="P12" s="356">
        <v>4593.1400000000003</v>
      </c>
      <c r="Q12" s="356">
        <v>301.8</v>
      </c>
      <c r="R12" s="355">
        <v>87738</v>
      </c>
      <c r="S12" s="355">
        <v>1998</v>
      </c>
      <c r="T12" s="357" t="s">
        <v>594</v>
      </c>
      <c r="U12" s="356">
        <v>1171.56</v>
      </c>
      <c r="V12" s="356">
        <v>384.7</v>
      </c>
      <c r="W12" s="356">
        <v>786.86</v>
      </c>
      <c r="X12" s="355">
        <v>6178</v>
      </c>
      <c r="Y12" s="356">
        <v>492.91</v>
      </c>
      <c r="Z12" s="356">
        <v>766.77</v>
      </c>
      <c r="AA12" s="356">
        <v>-296.7</v>
      </c>
      <c r="AB12" s="355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595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5">
        <v>2000</v>
      </c>
      <c r="B14" s="356">
        <v>3726.27</v>
      </c>
      <c r="C14" s="356">
        <v>3532.16</v>
      </c>
      <c r="D14" s="356">
        <v>24.58</v>
      </c>
      <c r="E14" s="355">
        <v>62091</v>
      </c>
      <c r="F14" s="356">
        <v>967.5</v>
      </c>
      <c r="G14" s="356">
        <v>548.08000000000004</v>
      </c>
      <c r="H14" s="355">
        <v>2000</v>
      </c>
      <c r="I14" s="356">
        <v>220.46</v>
      </c>
      <c r="J14" s="355">
        <v>1280</v>
      </c>
      <c r="K14" s="356">
        <v>3267.62</v>
      </c>
      <c r="L14" s="356">
        <v>2462.09</v>
      </c>
      <c r="M14" s="356">
        <v>309.97000000000003</v>
      </c>
      <c r="N14" s="355">
        <v>25975</v>
      </c>
      <c r="O14" s="356">
        <v>7961.39</v>
      </c>
      <c r="P14" s="356">
        <v>6542.33</v>
      </c>
      <c r="Q14" s="356">
        <v>555.01</v>
      </c>
      <c r="R14" s="355">
        <v>89346</v>
      </c>
      <c r="S14" s="355">
        <v>2000</v>
      </c>
      <c r="T14" s="357" t="s">
        <v>596</v>
      </c>
      <c r="U14" s="356">
        <v>1172.58</v>
      </c>
      <c r="V14" s="356">
        <v>456.64</v>
      </c>
      <c r="W14" s="356">
        <v>715.95</v>
      </c>
      <c r="X14" s="355">
        <v>5926</v>
      </c>
      <c r="Y14" s="356">
        <v>820.34</v>
      </c>
      <c r="Z14" s="356">
        <v>736.36</v>
      </c>
      <c r="AA14" s="356">
        <v>79.81</v>
      </c>
      <c r="AB14" s="355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597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5">
        <v>2002</v>
      </c>
      <c r="B16" s="356">
        <v>3665.52</v>
      </c>
      <c r="C16" s="356">
        <v>3420.35</v>
      </c>
      <c r="D16" s="356">
        <v>19.88</v>
      </c>
      <c r="E16" s="355">
        <v>60169</v>
      </c>
      <c r="F16" s="356">
        <v>1061.9000000000001</v>
      </c>
      <c r="G16" s="356">
        <v>570.79</v>
      </c>
      <c r="H16" s="355">
        <v>2002</v>
      </c>
      <c r="I16" s="356">
        <v>224.08</v>
      </c>
      <c r="J16" s="355">
        <v>1305</v>
      </c>
      <c r="K16" s="356">
        <v>5021.55</v>
      </c>
      <c r="L16" s="356">
        <v>3930.87</v>
      </c>
      <c r="M16" s="356">
        <v>458.79</v>
      </c>
      <c r="N16" s="355">
        <v>28336</v>
      </c>
      <c r="O16" s="356">
        <v>9748.9699999999993</v>
      </c>
      <c r="P16" s="356">
        <v>7922.01</v>
      </c>
      <c r="Q16" s="356">
        <v>702.75</v>
      </c>
      <c r="R16" s="355">
        <v>89810</v>
      </c>
      <c r="S16" s="355">
        <v>2002</v>
      </c>
      <c r="T16" s="357" t="s">
        <v>598</v>
      </c>
      <c r="U16" s="356">
        <v>1725.62</v>
      </c>
      <c r="V16" s="356">
        <v>365.57</v>
      </c>
      <c r="W16" s="356">
        <v>760.05</v>
      </c>
      <c r="X16" s="355">
        <v>5576</v>
      </c>
      <c r="Y16" s="356">
        <v>738.53</v>
      </c>
      <c r="Z16" s="356">
        <v>768.85</v>
      </c>
      <c r="AA16" s="356">
        <v>-24.32</v>
      </c>
      <c r="AB16" s="355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599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5">
        <v>2004</v>
      </c>
      <c r="B18" s="356">
        <v>4008.46</v>
      </c>
      <c r="C18" s="356">
        <v>3693.77</v>
      </c>
      <c r="D18" s="356">
        <v>-1904.72</v>
      </c>
      <c r="E18" s="355">
        <v>57588</v>
      </c>
      <c r="F18" s="356">
        <v>1294.25</v>
      </c>
      <c r="G18" s="356">
        <v>640.37</v>
      </c>
      <c r="H18" s="355">
        <v>2004</v>
      </c>
      <c r="I18" s="356">
        <v>392.01</v>
      </c>
      <c r="J18" s="355">
        <v>1394</v>
      </c>
      <c r="K18" s="356">
        <v>7305.97</v>
      </c>
      <c r="L18" s="356">
        <v>5293.89</v>
      </c>
      <c r="M18" s="356">
        <v>736.49</v>
      </c>
      <c r="N18" s="355">
        <v>34786</v>
      </c>
      <c r="O18" s="356">
        <v>12608.68</v>
      </c>
      <c r="P18" s="356">
        <v>9628.0300000000007</v>
      </c>
      <c r="Q18" s="356">
        <v>-776.22</v>
      </c>
      <c r="R18" s="355">
        <v>93768</v>
      </c>
      <c r="S18" s="355">
        <v>2004</v>
      </c>
      <c r="T18" s="357" t="s">
        <v>600</v>
      </c>
      <c r="U18" s="356">
        <v>2415.7800000000002</v>
      </c>
      <c r="V18" s="356">
        <v>523.91</v>
      </c>
      <c r="W18" s="356">
        <v>1891.87</v>
      </c>
      <c r="X18" s="355">
        <v>5596</v>
      </c>
      <c r="Y18" s="356">
        <v>646.38</v>
      </c>
      <c r="Z18" s="356">
        <v>854.92</v>
      </c>
      <c r="AA18" s="356">
        <v>-240.68</v>
      </c>
      <c r="AB18" s="355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605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5">
        <v>2006</v>
      </c>
      <c r="B20" s="355">
        <v>5657.36</v>
      </c>
      <c r="C20" s="355">
        <v>4551.7700000000004</v>
      </c>
      <c r="D20" s="355">
        <v>-4415.92</v>
      </c>
      <c r="E20" s="355">
        <v>54591</v>
      </c>
      <c r="F20" s="356">
        <v>2372</v>
      </c>
      <c r="G20" s="355">
        <v>988.01</v>
      </c>
      <c r="H20" s="355">
        <v>2006</v>
      </c>
      <c r="I20" s="355">
        <v>624.12</v>
      </c>
      <c r="J20" s="355">
        <v>2384</v>
      </c>
      <c r="K20" s="355">
        <v>12757.48</v>
      </c>
      <c r="L20" s="355">
        <v>9400.6200000000008</v>
      </c>
      <c r="M20" s="355">
        <v>931.54</v>
      </c>
      <c r="N20" s="355">
        <v>42512</v>
      </c>
      <c r="O20" s="355">
        <v>20786.84</v>
      </c>
      <c r="P20" s="356">
        <v>14940.4</v>
      </c>
      <c r="Q20" s="355">
        <v>-2860.26</v>
      </c>
      <c r="R20" s="355">
        <v>99487</v>
      </c>
      <c r="S20" s="355">
        <v>2006</v>
      </c>
      <c r="T20" s="358" t="s">
        <v>614</v>
      </c>
      <c r="U20" s="359">
        <v>4279.41</v>
      </c>
      <c r="V20" s="359">
        <v>818.83</v>
      </c>
      <c r="W20" s="359">
        <v>3460.58</v>
      </c>
      <c r="X20" s="359">
        <v>5402</v>
      </c>
      <c r="Y20" s="360">
        <v>1234.32</v>
      </c>
      <c r="Z20" s="359">
        <v>1251.53</v>
      </c>
      <c r="AA20" s="360">
        <v>-143.62</v>
      </c>
      <c r="AB20" s="359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362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5">
        <v>2008</v>
      </c>
      <c r="B22" s="355">
        <v>6750.95</v>
      </c>
      <c r="C22" s="355">
        <v>5227.88</v>
      </c>
      <c r="D22" s="355">
        <v>897.68</v>
      </c>
      <c r="E22" s="355">
        <v>53786</v>
      </c>
      <c r="F22" s="356">
        <v>3235.57</v>
      </c>
      <c r="G22" s="356">
        <v>1620.56</v>
      </c>
      <c r="H22" s="355">
        <v>2008</v>
      </c>
      <c r="I22" s="361">
        <v>1138.42</v>
      </c>
      <c r="J22" s="362">
        <v>2384</v>
      </c>
      <c r="K22" s="356">
        <v>21172.7</v>
      </c>
      <c r="L22" s="356">
        <v>14757.53</v>
      </c>
      <c r="M22" s="361">
        <v>2818.66</v>
      </c>
      <c r="N22" s="362">
        <v>46308</v>
      </c>
      <c r="O22" s="356">
        <v>31159.22</v>
      </c>
      <c r="P22" s="356">
        <v>21605.97</v>
      </c>
      <c r="Q22" s="356">
        <v>4854.76</v>
      </c>
      <c r="R22" s="362">
        <v>102478</v>
      </c>
      <c r="S22" s="355">
        <v>2008</v>
      </c>
      <c r="T22" s="358" t="s">
        <v>85</v>
      </c>
      <c r="U22" s="359">
        <v>3088.43</v>
      </c>
      <c r="V22" s="359">
        <v>582.63</v>
      </c>
      <c r="W22" s="360">
        <v>2505.8000000000002</v>
      </c>
      <c r="X22" s="359">
        <v>5259</v>
      </c>
      <c r="Y22" s="360">
        <v>1944.9</v>
      </c>
      <c r="Z22" s="359">
        <v>1685.01</v>
      </c>
      <c r="AA22" s="359">
        <v>40.159999999999997</v>
      </c>
      <c r="AB22" s="359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5">
        <v>2010</v>
      </c>
      <c r="B24" s="355">
        <v>10260.459999999999</v>
      </c>
      <c r="C24" s="355">
        <v>7163.33</v>
      </c>
      <c r="D24" s="355">
        <v>1176.26</v>
      </c>
      <c r="E24" s="355">
        <v>50069</v>
      </c>
      <c r="F24" s="356">
        <v>2632.77</v>
      </c>
      <c r="G24" s="356">
        <v>1338.96</v>
      </c>
      <c r="H24" s="355">
        <v>2010</v>
      </c>
      <c r="I24" s="356">
        <v>645.62</v>
      </c>
      <c r="J24" s="362">
        <v>3143</v>
      </c>
      <c r="K24" s="356">
        <v>32873.14</v>
      </c>
      <c r="L24" s="356">
        <v>20435.560000000001</v>
      </c>
      <c r="M24" s="356">
        <v>6032.03</v>
      </c>
      <c r="N24" s="362">
        <v>68720</v>
      </c>
      <c r="O24" s="356">
        <f t="shared" si="0"/>
        <v>45766.369999999995</v>
      </c>
      <c r="P24" s="356">
        <f t="shared" si="0"/>
        <v>28937.850000000002</v>
      </c>
      <c r="Q24" s="356">
        <f t="shared" si="1"/>
        <v>7853.91</v>
      </c>
      <c r="R24" s="362">
        <f t="shared" si="1"/>
        <v>121932</v>
      </c>
      <c r="S24" s="355">
        <v>2010</v>
      </c>
      <c r="T24" s="358" t="s">
        <v>199</v>
      </c>
      <c r="U24" s="359">
        <v>9862.5400000000009</v>
      </c>
      <c r="V24" s="360">
        <v>1019.94</v>
      </c>
      <c r="W24" s="359">
        <v>8842.59</v>
      </c>
      <c r="X24" s="359">
        <f>3848+1030</f>
        <v>4878</v>
      </c>
      <c r="Y24" s="360">
        <v>2610.5</v>
      </c>
      <c r="Z24" s="360">
        <v>2494.17</v>
      </c>
      <c r="AA24" s="359">
        <v>-58.41</v>
      </c>
      <c r="AB24" s="359">
        <v>14367</v>
      </c>
    </row>
    <row r="25" spans="1:28" s="402" customFormat="1" ht="13.5" customHeight="1">
      <c r="A25" s="546">
        <v>2011</v>
      </c>
      <c r="B25" s="547">
        <v>13224.12</v>
      </c>
      <c r="C25" s="547">
        <v>8569.5</v>
      </c>
      <c r="D25" s="546">
        <v>1799.33</v>
      </c>
      <c r="E25" s="546">
        <v>54025</v>
      </c>
      <c r="F25" s="547">
        <v>4378.41</v>
      </c>
      <c r="G25" s="547">
        <v>1925.6</v>
      </c>
      <c r="H25" s="546">
        <v>2011</v>
      </c>
      <c r="I25" s="547">
        <v>781.04</v>
      </c>
      <c r="J25" s="548">
        <v>3137</v>
      </c>
      <c r="K25" s="547">
        <v>41050.18</v>
      </c>
      <c r="L25" s="547">
        <v>29079.7</v>
      </c>
      <c r="M25" s="547">
        <v>6999.28</v>
      </c>
      <c r="N25" s="548">
        <v>75649</v>
      </c>
      <c r="O25" s="547">
        <f t="shared" si="0"/>
        <v>58652.71</v>
      </c>
      <c r="P25" s="547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6">
        <v>2011</v>
      </c>
      <c r="T25" s="183" t="s">
        <v>1155</v>
      </c>
      <c r="U25" s="402">
        <v>8522.74</v>
      </c>
      <c r="V25" s="423">
        <v>1490.9978000000001</v>
      </c>
      <c r="W25" s="402">
        <v>7031.75</v>
      </c>
      <c r="X25" s="402">
        <v>4958</v>
      </c>
      <c r="Y25" s="423">
        <v>1818.91</v>
      </c>
      <c r="Z25" s="423">
        <v>1996.95</v>
      </c>
      <c r="AA25" s="423">
        <v>-208.04</v>
      </c>
      <c r="AB25" s="402">
        <v>13879</v>
      </c>
    </row>
    <row r="26" spans="1:28" s="402" customFormat="1" ht="13.5" customHeight="1">
      <c r="A26" s="355">
        <v>2012</v>
      </c>
      <c r="B26" s="356">
        <v>15725.253306500001</v>
      </c>
      <c r="C26" s="356">
        <v>11794.0446276</v>
      </c>
      <c r="D26" s="356">
        <v>-6522.876828200001</v>
      </c>
      <c r="E26" s="355">
        <v>57989</v>
      </c>
      <c r="F26" s="356">
        <v>5603.3493125000005</v>
      </c>
      <c r="G26" s="356">
        <v>2796.43</v>
      </c>
      <c r="H26" s="355">
        <v>2012</v>
      </c>
      <c r="I26" s="356">
        <v>1465.1193717000001</v>
      </c>
      <c r="J26" s="362">
        <v>3140</v>
      </c>
      <c r="K26" s="356">
        <v>52221.363523699983</v>
      </c>
      <c r="L26" s="356">
        <v>38973.794740899997</v>
      </c>
      <c r="M26" s="356">
        <v>3962.6805902000001</v>
      </c>
      <c r="N26" s="362">
        <v>81944</v>
      </c>
      <c r="O26" s="356">
        <f t="shared" si="0"/>
        <v>73549.966142699981</v>
      </c>
      <c r="P26" s="356">
        <f t="shared" si="0"/>
        <v>53564.269368499998</v>
      </c>
      <c r="Q26" s="356">
        <f t="shared" si="1"/>
        <v>-1095.0768663000013</v>
      </c>
      <c r="R26" s="362">
        <f t="shared" si="1"/>
        <v>143073</v>
      </c>
      <c r="S26" s="355">
        <v>2012</v>
      </c>
      <c r="T26" s="615" t="s">
        <v>1183</v>
      </c>
      <c r="U26" s="359" t="s">
        <v>306</v>
      </c>
      <c r="V26" s="360" t="s">
        <v>306</v>
      </c>
      <c r="W26" s="359" t="s">
        <v>306</v>
      </c>
      <c r="X26" s="359" t="s">
        <v>306</v>
      </c>
      <c r="Y26" s="359">
        <f>252.03+1340.23</f>
        <v>1592.26</v>
      </c>
      <c r="Z26" s="359">
        <f>149.23+1079.22</f>
        <v>1228.45</v>
      </c>
      <c r="AA26" s="359">
        <f>83.7+2.79</f>
        <v>86.490000000000009</v>
      </c>
      <c r="AB26" s="359">
        <f>857+1657</f>
        <v>2514</v>
      </c>
    </row>
    <row r="27" spans="1:28" s="402" customFormat="1" ht="13.5" customHeight="1">
      <c r="A27" s="546">
        <v>2013</v>
      </c>
      <c r="B27" s="547">
        <v>16728.024012099999</v>
      </c>
      <c r="C27" s="547">
        <v>13949.002911900001</v>
      </c>
      <c r="D27" s="547">
        <v>2258.4407385999998</v>
      </c>
      <c r="E27" s="546">
        <v>58049</v>
      </c>
      <c r="F27" s="547">
        <v>5985.9425159000011</v>
      </c>
      <c r="G27" s="547">
        <v>3007.3867308999997</v>
      </c>
      <c r="H27" s="546">
        <v>2013</v>
      </c>
      <c r="I27" s="547">
        <v>1464.6336643</v>
      </c>
      <c r="J27" s="548">
        <v>3330</v>
      </c>
      <c r="K27" s="547">
        <v>57658.748551799996</v>
      </c>
      <c r="L27" s="547">
        <v>44904.274183500005</v>
      </c>
      <c r="M27" s="547">
        <v>4644.2722049999993</v>
      </c>
      <c r="N27" s="548">
        <v>85888</v>
      </c>
      <c r="O27" s="547">
        <f t="shared" si="0"/>
        <v>80372.715079799993</v>
      </c>
      <c r="P27" s="547">
        <f t="shared" si="0"/>
        <v>61860.663826300006</v>
      </c>
      <c r="Q27" s="547">
        <f t="shared" si="1"/>
        <v>8367.3466078999991</v>
      </c>
      <c r="R27" s="548">
        <f t="shared" si="1"/>
        <v>147267</v>
      </c>
      <c r="S27" s="546">
        <v>2013</v>
      </c>
      <c r="T27" s="614" t="s">
        <v>908</v>
      </c>
      <c r="U27" s="402">
        <v>1685.34</v>
      </c>
      <c r="V27" s="423">
        <v>1380.9365</v>
      </c>
      <c r="W27" s="402">
        <v>304.41000000000003</v>
      </c>
      <c r="X27" s="402">
        <v>5239</v>
      </c>
      <c r="Y27" s="423">
        <v>1794.8927682999999</v>
      </c>
      <c r="Z27" s="423">
        <v>2210.8702908</v>
      </c>
      <c r="AA27" s="423">
        <v>-448.5010825</v>
      </c>
      <c r="AB27" s="402">
        <v>15034</v>
      </c>
    </row>
    <row r="28" spans="1:28" s="402" customFormat="1" ht="13.5" customHeight="1">
      <c r="A28" s="355">
        <v>2014</v>
      </c>
      <c r="B28" s="356">
        <v>18486.490000000002</v>
      </c>
      <c r="C28" s="356">
        <v>15256.82</v>
      </c>
      <c r="D28" s="356">
        <v>1227.44</v>
      </c>
      <c r="E28" s="355">
        <v>56187</v>
      </c>
      <c r="F28" s="356">
        <v>5906.7</v>
      </c>
      <c r="G28" s="356">
        <v>2721.73</v>
      </c>
      <c r="H28" s="355">
        <v>2014</v>
      </c>
      <c r="I28" s="356">
        <v>1706.03</v>
      </c>
      <c r="J28" s="362">
        <v>3880</v>
      </c>
      <c r="K28" s="356">
        <v>61356.65</v>
      </c>
      <c r="L28" s="356">
        <v>46637.05</v>
      </c>
      <c r="M28" s="356">
        <v>5511.02</v>
      </c>
      <c r="N28" s="362">
        <v>93624</v>
      </c>
      <c r="O28" s="356">
        <f t="shared" si="0"/>
        <v>85749.84</v>
      </c>
      <c r="P28" s="356">
        <f t="shared" si="0"/>
        <v>64615.600000000006</v>
      </c>
      <c r="Q28" s="356">
        <f t="shared" si="1"/>
        <v>8444.4900000000016</v>
      </c>
      <c r="R28" s="362">
        <f t="shared" si="1"/>
        <v>153691</v>
      </c>
      <c r="S28" s="355">
        <v>2014</v>
      </c>
      <c r="T28" s="615">
        <v>2013</v>
      </c>
      <c r="U28" s="359" t="s">
        <v>306</v>
      </c>
      <c r="V28" s="360" t="s">
        <v>306</v>
      </c>
      <c r="W28" s="359" t="s">
        <v>306</v>
      </c>
      <c r="X28" s="359" t="s">
        <v>306</v>
      </c>
      <c r="Y28" s="360">
        <v>2163.7902678</v>
      </c>
      <c r="Z28" s="360">
        <v>1791.2615637000001</v>
      </c>
      <c r="AA28" s="360">
        <v>48.857708699999996</v>
      </c>
      <c r="AB28" s="359">
        <v>2971</v>
      </c>
    </row>
    <row r="29" spans="1:28" s="402" customFormat="1" ht="13.5" customHeight="1">
      <c r="A29" s="150">
        <v>2015</v>
      </c>
      <c r="B29" s="94">
        <v>20782.27</v>
      </c>
      <c r="C29" s="94">
        <v>17852.88</v>
      </c>
      <c r="D29" s="716">
        <v>365.93</v>
      </c>
      <c r="E29" s="717">
        <v>58286</v>
      </c>
      <c r="F29" s="427">
        <v>5407.47</v>
      </c>
      <c r="G29" s="427">
        <v>2514.02</v>
      </c>
      <c r="H29" s="150">
        <v>2015</v>
      </c>
      <c r="I29" s="427">
        <v>1695.81</v>
      </c>
      <c r="J29" s="718">
        <v>3876</v>
      </c>
      <c r="K29" s="427">
        <v>64033.43</v>
      </c>
      <c r="L29" s="427">
        <v>48463.98</v>
      </c>
      <c r="M29" s="427">
        <v>6145.79</v>
      </c>
      <c r="N29" s="718">
        <v>92742</v>
      </c>
      <c r="O29" s="547">
        <f t="shared" si="0"/>
        <v>90223.17</v>
      </c>
      <c r="P29" s="547">
        <f t="shared" si="0"/>
        <v>68830.880000000005</v>
      </c>
      <c r="Q29" s="547">
        <f t="shared" si="1"/>
        <v>8207.5299999999988</v>
      </c>
      <c r="R29" s="548">
        <f t="shared" si="1"/>
        <v>154904</v>
      </c>
      <c r="S29" s="150">
        <v>2015</v>
      </c>
      <c r="T29" s="183" t="s">
        <v>1108</v>
      </c>
      <c r="U29" s="402">
        <v>5040.63</v>
      </c>
      <c r="V29" s="423">
        <v>1688.81</v>
      </c>
      <c r="W29" s="402">
        <v>3351.83</v>
      </c>
      <c r="X29" s="402">
        <v>5470</v>
      </c>
      <c r="Y29" s="423">
        <v>2035.3</v>
      </c>
      <c r="Z29" s="402">
        <v>2539.12</v>
      </c>
      <c r="AA29" s="402">
        <v>-3504.21</v>
      </c>
      <c r="AB29" s="402">
        <v>14237</v>
      </c>
    </row>
    <row r="30" spans="1:28" s="402" customFormat="1" ht="13.5" customHeight="1">
      <c r="A30" s="359">
        <v>2016</v>
      </c>
      <c r="B30" s="792">
        <v>20405.580000000002</v>
      </c>
      <c r="C30" s="792">
        <v>18437.03</v>
      </c>
      <c r="D30" s="793">
        <v>-363.99</v>
      </c>
      <c r="E30" s="794">
        <v>54405</v>
      </c>
      <c r="F30" s="432">
        <v>4405.96</v>
      </c>
      <c r="G30" s="432">
        <v>2009.23</v>
      </c>
      <c r="H30" s="359">
        <v>2016</v>
      </c>
      <c r="I30" s="432">
        <v>1385.13</v>
      </c>
      <c r="J30" s="795">
        <v>3997</v>
      </c>
      <c r="K30" s="432">
        <v>66053.23</v>
      </c>
      <c r="L30" s="432">
        <v>48304.639999999999</v>
      </c>
      <c r="M30" s="432">
        <v>7075.22</v>
      </c>
      <c r="N30" s="795">
        <v>101622</v>
      </c>
      <c r="O30" s="356">
        <f t="shared" si="0"/>
        <v>90864.76999999999</v>
      </c>
      <c r="P30" s="356">
        <f t="shared" si="0"/>
        <v>68750.899999999994</v>
      </c>
      <c r="Q30" s="356">
        <f t="shared" si="1"/>
        <v>8096.3600000000006</v>
      </c>
      <c r="R30" s="362">
        <f t="shared" si="1"/>
        <v>160024</v>
      </c>
      <c r="S30" s="359">
        <v>2016</v>
      </c>
      <c r="T30" s="615">
        <v>2014</v>
      </c>
      <c r="U30" s="359" t="s">
        <v>306</v>
      </c>
      <c r="V30" s="360" t="s">
        <v>306</v>
      </c>
      <c r="W30" s="359" t="s">
        <v>306</v>
      </c>
      <c r="X30" s="359" t="s">
        <v>306</v>
      </c>
      <c r="Y30" s="359">
        <v>1988.85</v>
      </c>
      <c r="Z30" s="359">
        <v>1951.38</v>
      </c>
      <c r="AA30" s="359">
        <v>2.91</v>
      </c>
      <c r="AB30" s="359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7">
        <v>71888.84</v>
      </c>
      <c r="L31" s="547">
        <v>53138.79</v>
      </c>
      <c r="M31" s="547">
        <v>6877.83</v>
      </c>
      <c r="N31" s="548">
        <v>107255</v>
      </c>
      <c r="O31" s="547">
        <f t="shared" si="0"/>
        <v>97087.93</v>
      </c>
      <c r="P31" s="547">
        <f t="shared" si="0"/>
        <v>72198.63</v>
      </c>
      <c r="Q31" s="547">
        <f t="shared" si="1"/>
        <v>9293.2199999999993</v>
      </c>
      <c r="R31" s="548">
        <f t="shared" si="1"/>
        <v>162741</v>
      </c>
      <c r="S31" s="546">
        <v>2017</v>
      </c>
      <c r="T31" s="183" t="s">
        <v>1167</v>
      </c>
      <c r="U31" s="402">
        <v>2807.48</v>
      </c>
      <c r="V31" s="423">
        <v>5430.4471999999996</v>
      </c>
      <c r="W31" s="423">
        <v>-2622.97</v>
      </c>
      <c r="X31" s="402">
        <v>6067</v>
      </c>
      <c r="Y31" s="402">
        <v>2105.12</v>
      </c>
      <c r="Z31" s="402">
        <v>2551.56</v>
      </c>
      <c r="AA31" s="423">
        <v>-247.5</v>
      </c>
      <c r="AB31" s="402">
        <v>14094</v>
      </c>
    </row>
    <row r="32" spans="1:28" ht="13.5" customHeight="1">
      <c r="A32" s="359">
        <v>2018</v>
      </c>
      <c r="B32" s="359">
        <v>21746.61</v>
      </c>
      <c r="C32" s="359">
        <v>17483.86</v>
      </c>
      <c r="D32" s="359">
        <v>113.45</v>
      </c>
      <c r="E32" s="359">
        <v>49552</v>
      </c>
      <c r="F32" s="359">
        <v>5123.6499999999996</v>
      </c>
      <c r="G32" s="359">
        <v>2321.98</v>
      </c>
      <c r="H32" s="359">
        <v>2018</v>
      </c>
      <c r="I32" s="359">
        <v>1630.73</v>
      </c>
      <c r="J32" s="359">
        <v>3935</v>
      </c>
      <c r="K32" s="356">
        <v>84994.49</v>
      </c>
      <c r="L32" s="356">
        <v>65262.559999999998</v>
      </c>
      <c r="M32" s="356">
        <v>7866.64</v>
      </c>
      <c r="N32" s="362">
        <v>114080</v>
      </c>
      <c r="O32" s="356">
        <f t="shared" si="0"/>
        <v>111864.75</v>
      </c>
      <c r="P32" s="356">
        <f t="shared" si="0"/>
        <v>85068.4</v>
      </c>
      <c r="Q32" s="356">
        <f t="shared" si="1"/>
        <v>9610.82</v>
      </c>
      <c r="R32" s="362">
        <f t="shared" si="1"/>
        <v>167567</v>
      </c>
      <c r="S32" s="355">
        <v>2018</v>
      </c>
      <c r="T32" s="358" t="s">
        <v>1299</v>
      </c>
      <c r="U32" s="359">
        <v>3502.18</v>
      </c>
      <c r="V32" s="360">
        <v>3349.1619999999998</v>
      </c>
      <c r="W32" s="360">
        <v>153.02000000000001</v>
      </c>
      <c r="X32" s="359">
        <v>5726</v>
      </c>
      <c r="Y32" s="360">
        <v>2060.8000000000002</v>
      </c>
      <c r="Z32" s="360">
        <v>2816.86</v>
      </c>
      <c r="AA32" s="359">
        <v>-674.71</v>
      </c>
      <c r="AB32" s="359">
        <v>13200</v>
      </c>
    </row>
    <row r="33" spans="1:31" ht="13.5" customHeight="1">
      <c r="A33" s="402">
        <v>2019</v>
      </c>
      <c r="B33" s="402">
        <v>22230.95</v>
      </c>
      <c r="C33" s="402">
        <v>18888.73</v>
      </c>
      <c r="D33" s="423">
        <v>155.6</v>
      </c>
      <c r="E33" s="402">
        <v>52002</v>
      </c>
      <c r="F33" s="402">
        <v>7224.31</v>
      </c>
      <c r="G33" s="402">
        <v>3352.81</v>
      </c>
      <c r="H33" s="402">
        <v>2019</v>
      </c>
      <c r="I33" s="402">
        <v>2365.71</v>
      </c>
      <c r="J33" s="402">
        <v>3886</v>
      </c>
      <c r="K33" s="547">
        <v>97952.06</v>
      </c>
      <c r="L33" s="547">
        <v>75408.59</v>
      </c>
      <c r="M33" s="547">
        <v>7018.84</v>
      </c>
      <c r="N33" s="548">
        <v>123186</v>
      </c>
      <c r="O33" s="547">
        <v>127407.31</v>
      </c>
      <c r="P33" s="547">
        <v>97650.13</v>
      </c>
      <c r="Q33" s="547">
        <v>9540.15</v>
      </c>
      <c r="R33" s="548">
        <v>179074</v>
      </c>
      <c r="S33" s="546">
        <v>2019</v>
      </c>
      <c r="T33" s="183" t="s">
        <v>1332</v>
      </c>
      <c r="U33" s="423">
        <v>10866.435799999999</v>
      </c>
      <c r="V33" s="423">
        <v>3379.3724000000002</v>
      </c>
      <c r="W33" s="423">
        <f t="shared" ref="W33:W38" si="2">U33-V33</f>
        <v>7487.0633999999991</v>
      </c>
      <c r="X33" s="402">
        <v>5664</v>
      </c>
      <c r="Y33" s="423">
        <v>2155</v>
      </c>
      <c r="Z33" s="423">
        <v>2921.68</v>
      </c>
      <c r="AA33" s="402">
        <v>-555.75</v>
      </c>
      <c r="AB33" s="402">
        <v>12286</v>
      </c>
      <c r="AD33" s="175"/>
      <c r="AE33" s="175"/>
    </row>
    <row r="34" spans="1:31" ht="13.5" customHeight="1">
      <c r="A34" s="359">
        <v>2020</v>
      </c>
      <c r="B34" s="359">
        <v>24064.51</v>
      </c>
      <c r="C34" s="359">
        <v>20386.939999999999</v>
      </c>
      <c r="D34" s="359">
        <v>49.26</v>
      </c>
      <c r="E34" s="359">
        <v>50543</v>
      </c>
      <c r="F34" s="359">
        <v>6782.25</v>
      </c>
      <c r="G34" s="360">
        <v>2914.5</v>
      </c>
      <c r="H34" s="359">
        <v>2020</v>
      </c>
      <c r="I34" s="360">
        <v>2313.3000000000002</v>
      </c>
      <c r="J34" s="359">
        <v>3870</v>
      </c>
      <c r="K34" s="355">
        <v>94759.71</v>
      </c>
      <c r="L34" s="355">
        <v>75652.05</v>
      </c>
      <c r="M34" s="355">
        <v>8023.22</v>
      </c>
      <c r="N34" s="355">
        <v>127524</v>
      </c>
      <c r="O34" s="355">
        <v>125606.46</v>
      </c>
      <c r="P34" s="355">
        <v>98953.49</v>
      </c>
      <c r="Q34" s="355">
        <v>10385.780000000001</v>
      </c>
      <c r="R34" s="355">
        <v>181937</v>
      </c>
      <c r="S34" s="355">
        <v>2020</v>
      </c>
      <c r="T34" s="358" t="s">
        <v>1471</v>
      </c>
      <c r="U34" s="360">
        <v>14247.9123</v>
      </c>
      <c r="V34" s="360">
        <v>4583.1831000000002</v>
      </c>
      <c r="W34" s="360">
        <f t="shared" si="2"/>
        <v>9664.7291999999998</v>
      </c>
      <c r="X34" s="359">
        <v>5741</v>
      </c>
      <c r="Y34" s="360">
        <v>1952.69</v>
      </c>
      <c r="Z34" s="360">
        <v>2861.6</v>
      </c>
      <c r="AA34" s="359">
        <v>-610.83000000000004</v>
      </c>
      <c r="AB34" s="359">
        <v>12470</v>
      </c>
      <c r="AD34" s="953"/>
      <c r="AE34" s="175"/>
    </row>
    <row r="35" spans="1:31" ht="13.5" customHeight="1" thickBot="1">
      <c r="A35" s="1602">
        <v>2021</v>
      </c>
      <c r="B35" s="1603">
        <v>26872.24418464</v>
      </c>
      <c r="C35" s="1603">
        <v>23374.866161400001</v>
      </c>
      <c r="D35" s="1603">
        <v>429.252225071</v>
      </c>
      <c r="E35" s="1605">
        <v>50956</v>
      </c>
      <c r="F35" s="1603">
        <v>5595.4584286017998</v>
      </c>
      <c r="G35" s="1603">
        <v>2450.3390051800002</v>
      </c>
      <c r="H35" s="1602">
        <v>2021</v>
      </c>
      <c r="I35" s="1603">
        <v>1538.7015144</v>
      </c>
      <c r="J35" s="1602">
        <v>3759</v>
      </c>
      <c r="K35" s="1606">
        <v>91769.504217783993</v>
      </c>
      <c r="L35" s="1606">
        <v>69567.008369129995</v>
      </c>
      <c r="M35" s="1606">
        <v>6687.2177825500003</v>
      </c>
      <c r="N35" s="1604">
        <v>134446</v>
      </c>
      <c r="O35" s="1606">
        <v>124237.20683102599</v>
      </c>
      <c r="P35" s="1606">
        <v>95392.213535710005</v>
      </c>
      <c r="Q35" s="1606">
        <v>8655.1715220210008</v>
      </c>
      <c r="R35" s="1604">
        <v>189161</v>
      </c>
      <c r="S35" s="1604">
        <v>2021</v>
      </c>
      <c r="T35" s="183" t="s">
        <v>1600</v>
      </c>
      <c r="U35" s="423">
        <v>8954.8858999999993</v>
      </c>
      <c r="V35" s="423">
        <v>3142.6428999999998</v>
      </c>
      <c r="W35" s="423">
        <f t="shared" si="2"/>
        <v>5812.2429999999995</v>
      </c>
      <c r="X35" s="402">
        <v>6369</v>
      </c>
      <c r="Y35" s="423">
        <v>1983.63</v>
      </c>
      <c r="Z35" s="423">
        <v>3057.25</v>
      </c>
      <c r="AA35" s="402">
        <v>-704.27</v>
      </c>
      <c r="AB35" s="402">
        <v>12156</v>
      </c>
      <c r="AD35" s="953"/>
      <c r="AE35" s="175"/>
    </row>
    <row r="36" spans="1:31" ht="13.5" customHeight="1">
      <c r="A36" s="616"/>
      <c r="B36" s="617"/>
      <c r="C36" s="1012"/>
      <c r="D36" s="547"/>
      <c r="E36" s="546"/>
      <c r="F36" s="547"/>
      <c r="G36" s="547"/>
      <c r="H36" s="546"/>
      <c r="I36" s="547"/>
      <c r="J36" s="548"/>
      <c r="K36" s="72"/>
      <c r="L36" s="72"/>
      <c r="M36" s="72"/>
      <c r="N36" s="72"/>
      <c r="O36" s="72"/>
      <c r="P36" s="72"/>
      <c r="Q36" s="72"/>
      <c r="R36" s="72"/>
      <c r="S36" s="72"/>
      <c r="T36" s="358" t="s">
        <v>1695</v>
      </c>
      <c r="U36" s="360">
        <v>9035.0049999999992</v>
      </c>
      <c r="V36" s="360">
        <v>2849.3778000000002</v>
      </c>
      <c r="W36" s="360">
        <f t="shared" si="2"/>
        <v>6185.627199999999</v>
      </c>
      <c r="X36" s="359">
        <v>6391</v>
      </c>
      <c r="Y36" s="360">
        <v>1788.53</v>
      </c>
      <c r="Z36" s="360">
        <v>3360.88</v>
      </c>
      <c r="AA36" s="359">
        <v>-1834.47</v>
      </c>
      <c r="AB36" s="359">
        <v>13551</v>
      </c>
      <c r="AD36" s="175"/>
      <c r="AE36" s="175"/>
    </row>
    <row r="37" spans="1:31" ht="13.5" customHeight="1">
      <c r="A37" s="616" t="s">
        <v>411</v>
      </c>
      <c r="B37" s="2298" t="s">
        <v>1368</v>
      </c>
      <c r="C37" s="2298"/>
      <c r="D37" s="862"/>
      <c r="E37" s="862"/>
      <c r="F37" s="862"/>
      <c r="G37" s="862"/>
      <c r="H37" s="862"/>
      <c r="I37" s="862"/>
      <c r="J37" s="862"/>
      <c r="K37" s="72"/>
      <c r="L37" s="72"/>
      <c r="M37" s="72"/>
      <c r="N37" s="72"/>
      <c r="O37" s="796"/>
      <c r="P37" s="72"/>
      <c r="Q37" s="72"/>
      <c r="R37" s="796"/>
      <c r="S37" s="72"/>
      <c r="T37" s="183" t="s">
        <v>1764</v>
      </c>
      <c r="U37" s="423">
        <v>8635.3417000000009</v>
      </c>
      <c r="V37" s="423">
        <v>2858.1232</v>
      </c>
      <c r="W37" s="423">
        <f t="shared" si="2"/>
        <v>5777.2185000000009</v>
      </c>
      <c r="X37" s="402">
        <v>6407</v>
      </c>
      <c r="Y37" s="423">
        <v>1959.1311442470001</v>
      </c>
      <c r="Z37" s="423">
        <v>3564.6620677000001</v>
      </c>
      <c r="AA37" s="402">
        <v>-1742.4104153000001</v>
      </c>
      <c r="AB37" s="402">
        <v>13275</v>
      </c>
      <c r="AD37" s="175"/>
      <c r="AE37" s="175"/>
    </row>
    <row r="38" spans="1:31" ht="13.5" customHeight="1" thickBot="1">
      <c r="A38" s="616"/>
      <c r="B38" s="2298" t="s">
        <v>1333</v>
      </c>
      <c r="C38" s="2298"/>
      <c r="D38" s="2298"/>
      <c r="E38" s="2298"/>
      <c r="F38" s="862"/>
      <c r="G38" s="862"/>
      <c r="H38" s="862"/>
      <c r="I38" s="862"/>
      <c r="J38" s="862"/>
      <c r="K38" s="72"/>
      <c r="L38" s="72"/>
      <c r="M38" s="72"/>
      <c r="N38" s="72"/>
      <c r="O38" s="796"/>
      <c r="P38" s="72"/>
      <c r="Q38" s="72"/>
      <c r="R38" s="1188"/>
      <c r="S38" s="1625"/>
      <c r="T38" s="1607" t="s">
        <v>2166</v>
      </c>
      <c r="U38" s="1626">
        <v>32199.101299999998</v>
      </c>
      <c r="V38" s="1624">
        <v>2952.0945999999999</v>
      </c>
      <c r="W38" s="1624">
        <f t="shared" si="2"/>
        <v>29247.006699999998</v>
      </c>
      <c r="X38" s="1617">
        <v>6201</v>
      </c>
      <c r="Y38" s="1608" t="s">
        <v>306</v>
      </c>
      <c r="Z38" s="1609" t="s">
        <v>306</v>
      </c>
      <c r="AA38" s="1609" t="s">
        <v>306</v>
      </c>
      <c r="AB38" s="1610" t="s">
        <v>306</v>
      </c>
      <c r="AD38" s="1186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307" t="s">
        <v>1763</v>
      </c>
      <c r="U39" s="2307"/>
      <c r="V39" s="2307"/>
      <c r="W39" s="2307"/>
      <c r="X39" s="2307"/>
      <c r="Y39" s="2307"/>
      <c r="Z39" s="2307"/>
      <c r="AA39" s="2307"/>
      <c r="AB39" s="2307"/>
    </row>
    <row r="40" spans="1:31" ht="12.75" customHeight="1">
      <c r="B40" s="221"/>
      <c r="C40" s="221"/>
      <c r="D40" s="6"/>
      <c r="K40" s="121"/>
      <c r="L40" s="121"/>
      <c r="M40" s="121"/>
      <c r="N40" s="121"/>
      <c r="O40" s="719"/>
      <c r="P40" s="719"/>
      <c r="Q40" s="719"/>
      <c r="R40" s="719"/>
      <c r="S40" s="1187"/>
      <c r="T40" s="2307" t="s">
        <v>1558</v>
      </c>
      <c r="U40" s="2307"/>
      <c r="V40" s="2307"/>
      <c r="W40" s="2307"/>
      <c r="X40" s="2307"/>
      <c r="Y40" s="2307"/>
      <c r="Z40" s="2307"/>
      <c r="AA40" s="2307"/>
      <c r="AB40" s="2307"/>
    </row>
    <row r="41" spans="1:31" ht="12" customHeight="1">
      <c r="A41" s="125"/>
      <c r="B41" s="125"/>
      <c r="K41" s="128"/>
      <c r="L41" s="128"/>
      <c r="M41" s="128"/>
      <c r="N41" s="128"/>
      <c r="O41" s="720"/>
      <c r="P41" s="720"/>
      <c r="Q41" s="720"/>
      <c r="R41" s="720"/>
      <c r="S41" s="128"/>
      <c r="T41" s="2300" t="s">
        <v>1456</v>
      </c>
      <c r="U41" s="2300"/>
      <c r="V41" s="2300"/>
      <c r="W41" s="2300"/>
      <c r="X41" s="2300"/>
      <c r="Y41" s="2300"/>
      <c r="Z41" s="2300"/>
      <c r="AA41" s="2300"/>
      <c r="AB41" s="2300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299" t="s">
        <v>1377</v>
      </c>
      <c r="U42" s="2299"/>
      <c r="V42" s="2299"/>
      <c r="W42" s="2299"/>
      <c r="X42" s="2299"/>
      <c r="Y42" s="2299"/>
      <c r="Z42" s="7"/>
      <c r="AA42" s="763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22"/>
      <c r="P43" s="722"/>
      <c r="Q43" s="722"/>
      <c r="R43" s="722"/>
    </row>
    <row r="44" spans="1:31">
      <c r="I44" s="175"/>
      <c r="K44" s="72"/>
    </row>
    <row r="45" spans="1:31" ht="15">
      <c r="I45" s="175"/>
      <c r="K45" s="72"/>
      <c r="Y45" s="721"/>
      <c r="Z45" s="721"/>
      <c r="AA45" s="721"/>
      <c r="AB45" s="721"/>
    </row>
    <row r="46" spans="1:31" ht="15">
      <c r="K46" s="72"/>
      <c r="W46" s="171"/>
      <c r="Y46" s="721"/>
      <c r="Z46" s="721"/>
      <c r="AA46" s="721"/>
      <c r="AB46" s="721"/>
    </row>
    <row r="47" spans="1:31" ht="15">
      <c r="K47" s="72"/>
      <c r="Y47" s="721"/>
      <c r="Z47" s="721"/>
      <c r="AA47" s="721"/>
      <c r="AB47" s="721"/>
    </row>
    <row r="48" spans="1:31" ht="15">
      <c r="K48" s="72"/>
      <c r="Y48" s="723"/>
      <c r="Z48" s="723"/>
      <c r="AA48" s="723"/>
      <c r="AB48" s="723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45" firstPageNumber="79" orientation="portrait" useFirstPageNumber="1" r:id="rId2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06"/>
  <sheetViews>
    <sheetView zoomScale="130" zoomScaleNormal="130" workbookViewId="0">
      <pane xSplit="1" ySplit="3" topLeftCell="B34" activePane="bottomRight" state="frozen"/>
      <selection activeCell="W54" sqref="W54"/>
      <selection pane="topRight" activeCell="W54" sqref="W54"/>
      <selection pane="bottomLeft" activeCell="W54" sqref="W54"/>
      <selection pane="bottomRight" activeCell="F47" sqref="F47"/>
    </sheetView>
  </sheetViews>
  <sheetFormatPr defaultColWidth="9.140625" defaultRowHeight="11.25"/>
  <cols>
    <col min="1" max="1" width="13.140625" style="709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12" t="s">
        <v>1429</v>
      </c>
      <c r="B1" s="2312"/>
      <c r="C1" s="2312"/>
      <c r="D1" s="132" t="s">
        <v>413</v>
      </c>
      <c r="E1" s="131"/>
      <c r="F1" s="131"/>
      <c r="G1" s="131"/>
    </row>
    <row r="2" spans="1:8" s="133" customFormat="1" ht="12" customHeight="1">
      <c r="A2" s="2313" t="s">
        <v>527</v>
      </c>
      <c r="B2" s="2315" t="s">
        <v>60</v>
      </c>
      <c r="C2" s="1952" t="s">
        <v>61</v>
      </c>
      <c r="D2" s="2317"/>
    </row>
    <row r="3" spans="1:8" s="133" customFormat="1" ht="12.75" customHeight="1">
      <c r="A3" s="2314"/>
      <c r="B3" s="2316"/>
      <c r="C3" s="1098" t="s">
        <v>1254</v>
      </c>
      <c r="D3" s="1098" t="s">
        <v>1732</v>
      </c>
    </row>
    <row r="4" spans="1:8" ht="12.2" customHeight="1">
      <c r="A4" s="348" t="s">
        <v>81</v>
      </c>
      <c r="B4" s="352">
        <v>427180</v>
      </c>
      <c r="C4" s="326">
        <v>10987.4</v>
      </c>
      <c r="D4" s="328">
        <v>76010.833200000008</v>
      </c>
      <c r="E4" s="690"/>
      <c r="F4" s="690"/>
    </row>
    <row r="5" spans="1:8" s="228" customFormat="1" ht="12.2" customHeight="1">
      <c r="A5" s="377" t="s">
        <v>199</v>
      </c>
      <c r="B5" s="537">
        <v>439375</v>
      </c>
      <c r="C5" s="29">
        <v>11650.32</v>
      </c>
      <c r="D5" s="30">
        <v>83008.885067382464</v>
      </c>
      <c r="E5" s="691"/>
      <c r="F5" s="691"/>
    </row>
    <row r="6" spans="1:8" s="228" customFormat="1" ht="12.2" customHeight="1">
      <c r="A6" s="348" t="s">
        <v>792</v>
      </c>
      <c r="B6" s="352">
        <v>691402</v>
      </c>
      <c r="C6" s="326">
        <v>12843.429999999998</v>
      </c>
      <c r="D6" s="328">
        <v>101591.53129999999</v>
      </c>
      <c r="E6" s="691"/>
      <c r="F6" s="690"/>
    </row>
    <row r="7" spans="1:8" s="228" customFormat="1" ht="12.2" customHeight="1">
      <c r="A7" s="377" t="s">
        <v>908</v>
      </c>
      <c r="B7" s="537">
        <v>441301</v>
      </c>
      <c r="C7" s="29">
        <v>14461.15</v>
      </c>
      <c r="D7" s="30">
        <v>115646.15801927802</v>
      </c>
      <c r="E7" s="691"/>
      <c r="F7" s="691"/>
    </row>
    <row r="8" spans="1:8" s="228" customFormat="1" ht="12.2" customHeight="1">
      <c r="A8" s="348" t="s">
        <v>1108</v>
      </c>
      <c r="B8" s="329">
        <v>408870</v>
      </c>
      <c r="C8" s="328">
        <v>14228.3</v>
      </c>
      <c r="D8" s="328">
        <v>110582.38341698999</v>
      </c>
      <c r="E8" s="691"/>
      <c r="F8" s="690"/>
    </row>
    <row r="9" spans="1:8" s="228" customFormat="1" ht="12.2" customHeight="1">
      <c r="A9" s="377" t="s">
        <v>1167</v>
      </c>
      <c r="B9" s="789">
        <v>461829</v>
      </c>
      <c r="C9" s="789">
        <v>15316.91</v>
      </c>
      <c r="D9" s="790">
        <v>118982.31547276099</v>
      </c>
      <c r="E9" s="691"/>
      <c r="F9" s="691"/>
    </row>
    <row r="10" spans="1:8" s="228" customFormat="1" ht="12.2" customHeight="1">
      <c r="A10" s="633" t="s">
        <v>1299</v>
      </c>
      <c r="B10" s="634">
        <v>684537</v>
      </c>
      <c r="C10" s="867">
        <v>14931.18</v>
      </c>
      <c r="D10" s="867">
        <v>116856.72088078099</v>
      </c>
      <c r="E10" s="691"/>
      <c r="F10" s="690"/>
    </row>
    <row r="11" spans="1:8" s="228" customFormat="1" ht="12.2" customHeight="1">
      <c r="A11" s="591" t="s">
        <v>1343</v>
      </c>
      <c r="B11" s="1008">
        <v>905326</v>
      </c>
      <c r="C11" s="1009">
        <v>12769.45</v>
      </c>
      <c r="D11" s="1009">
        <v>101098.96241416999</v>
      </c>
      <c r="E11" s="691"/>
      <c r="F11" s="691"/>
    </row>
    <row r="12" spans="1:8" s="228" customFormat="1" ht="12.2" customHeight="1">
      <c r="A12" s="633" t="s">
        <v>1471</v>
      </c>
      <c r="B12" s="634">
        <v>880037</v>
      </c>
      <c r="C12" s="867">
        <v>14981.689999999999</v>
      </c>
      <c r="D12" s="867">
        <v>123156.004940445</v>
      </c>
      <c r="E12" s="691"/>
      <c r="F12" s="691"/>
    </row>
    <row r="13" spans="1:8" s="228" customFormat="1" ht="12.2" customHeight="1">
      <c r="A13" s="591" t="s">
        <v>1600</v>
      </c>
      <c r="B13" s="1008">
        <v>692978</v>
      </c>
      <c r="C13" s="1009">
        <v>16419.63</v>
      </c>
      <c r="D13" s="1009">
        <v>138006.57168470003</v>
      </c>
      <c r="E13" s="691"/>
      <c r="F13" s="691"/>
    </row>
    <row r="14" spans="1:8" s="228" customFormat="1" ht="12.2" customHeight="1">
      <c r="A14" s="670" t="s">
        <v>1695</v>
      </c>
      <c r="B14" s="678">
        <v>530578</v>
      </c>
      <c r="C14" s="679">
        <v>18205.010000000002</v>
      </c>
      <c r="D14" s="679">
        <v>154353.0611469</v>
      </c>
    </row>
    <row r="15" spans="1:8" s="228" customFormat="1" ht="12.2" customHeight="1">
      <c r="A15" s="618" t="s">
        <v>1764</v>
      </c>
      <c r="B15" s="664">
        <f>SUM(B16:B27)</f>
        <v>280258</v>
      </c>
      <c r="C15" s="374">
        <f>SUM(C16:C27)</f>
        <v>24777.71</v>
      </c>
      <c r="D15" s="374">
        <f>SUM(D16:D27)</f>
        <v>210130.60146709997</v>
      </c>
      <c r="E15" s="858"/>
      <c r="F15" s="691"/>
      <c r="G15" s="691"/>
      <c r="H15" s="691"/>
    </row>
    <row r="16" spans="1:8" s="228" customFormat="1" ht="12.2" customHeight="1">
      <c r="A16" s="610" t="s">
        <v>606</v>
      </c>
      <c r="B16" s="704">
        <v>16</v>
      </c>
      <c r="C16" s="635">
        <v>2598.21</v>
      </c>
      <c r="D16" s="635">
        <v>22035.938651999997</v>
      </c>
      <c r="E16" s="858"/>
      <c r="F16" s="691"/>
      <c r="G16" s="691"/>
      <c r="H16" s="691"/>
    </row>
    <row r="17" spans="1:8" s="228" customFormat="1" ht="12.2" customHeight="1">
      <c r="A17" s="607" t="s">
        <v>607</v>
      </c>
      <c r="B17" s="845">
        <v>64</v>
      </c>
      <c r="C17" s="632">
        <v>1963.94</v>
      </c>
      <c r="D17" s="632">
        <v>16661.870566000001</v>
      </c>
      <c r="E17" s="858"/>
      <c r="F17" s="691"/>
      <c r="G17" s="691"/>
      <c r="H17" s="691"/>
    </row>
    <row r="18" spans="1:8" s="228" customFormat="1" ht="12.2" customHeight="1">
      <c r="A18" s="610" t="s">
        <v>601</v>
      </c>
      <c r="B18" s="704">
        <v>195</v>
      </c>
      <c r="C18" s="635">
        <v>2151.0500000000002</v>
      </c>
      <c r="D18" s="635">
        <v>18241.441762500002</v>
      </c>
      <c r="E18" s="858"/>
      <c r="F18" s="691"/>
      <c r="G18" s="691"/>
      <c r="H18" s="691"/>
    </row>
    <row r="19" spans="1:8" s="228" customFormat="1" ht="12.2" customHeight="1">
      <c r="A19" s="607" t="s">
        <v>608</v>
      </c>
      <c r="B19" s="845">
        <v>1208</v>
      </c>
      <c r="C19" s="632">
        <v>2102.16</v>
      </c>
      <c r="D19" s="632">
        <v>17826.8002968</v>
      </c>
      <c r="E19" s="858"/>
      <c r="F19" s="691"/>
      <c r="G19" s="691"/>
      <c r="H19" s="691"/>
    </row>
    <row r="20" spans="1:8" s="228" customFormat="1" ht="12.2" customHeight="1">
      <c r="A20" s="610" t="s">
        <v>609</v>
      </c>
      <c r="B20" s="704">
        <v>6570</v>
      </c>
      <c r="C20" s="635">
        <v>2078.7399999999998</v>
      </c>
      <c r="D20" s="635">
        <v>17627.819137000002</v>
      </c>
      <c r="E20" s="858"/>
      <c r="F20" s="691"/>
      <c r="G20" s="691"/>
      <c r="H20" s="691"/>
    </row>
    <row r="21" spans="1:8" s="228" customFormat="1" ht="12.2" customHeight="1">
      <c r="A21" s="607" t="s">
        <v>602</v>
      </c>
      <c r="B21" s="845">
        <v>28398</v>
      </c>
      <c r="C21" s="632">
        <v>2050.65</v>
      </c>
      <c r="D21" s="632">
        <v>17389.573519500002</v>
      </c>
      <c r="E21" s="858"/>
      <c r="F21" s="691"/>
      <c r="G21" s="691"/>
      <c r="H21" s="691"/>
    </row>
    <row r="22" spans="1:8" s="228" customFormat="1" ht="12.2" customHeight="1">
      <c r="A22" s="610" t="s">
        <v>610</v>
      </c>
      <c r="B22" s="704">
        <v>35732</v>
      </c>
      <c r="C22" s="635">
        <v>1961.91</v>
      </c>
      <c r="D22" s="635">
        <v>16637.212610100003</v>
      </c>
      <c r="E22" s="858"/>
      <c r="F22" s="691"/>
      <c r="G22" s="691"/>
      <c r="H22" s="691"/>
    </row>
    <row r="23" spans="1:8" s="228" customFormat="1" ht="12.2" customHeight="1">
      <c r="A23" s="607" t="s">
        <v>611</v>
      </c>
      <c r="B23" s="845">
        <v>49510</v>
      </c>
      <c r="C23" s="632">
        <v>1780.59</v>
      </c>
      <c r="D23" s="632">
        <v>15099.5278413</v>
      </c>
      <c r="E23" s="858"/>
      <c r="F23" s="691"/>
      <c r="G23" s="691"/>
      <c r="H23" s="691"/>
    </row>
    <row r="24" spans="1:8" s="228" customFormat="1" ht="12.2" customHeight="1">
      <c r="A24" s="610" t="s">
        <v>603</v>
      </c>
      <c r="B24" s="704">
        <v>61653</v>
      </c>
      <c r="C24" s="635">
        <v>1910.98</v>
      </c>
      <c r="D24" s="635">
        <v>16205.282388200001</v>
      </c>
      <c r="E24" s="858"/>
      <c r="F24" s="691"/>
      <c r="G24" s="691"/>
      <c r="H24" s="691"/>
    </row>
    <row r="25" spans="1:8" s="228" customFormat="1" ht="12.2" customHeight="1">
      <c r="A25" s="607" t="s">
        <v>612</v>
      </c>
      <c r="B25" s="845">
        <v>34145</v>
      </c>
      <c r="C25" s="632">
        <v>2067.64</v>
      </c>
      <c r="D25" s="632">
        <v>17533.793963999997</v>
      </c>
      <c r="E25" s="858"/>
      <c r="F25" s="691"/>
      <c r="G25" s="691"/>
      <c r="H25" s="691"/>
    </row>
    <row r="26" spans="1:8" s="228" customFormat="1" ht="12.2" customHeight="1">
      <c r="A26" s="610" t="s">
        <v>613</v>
      </c>
      <c r="B26" s="704">
        <v>14200</v>
      </c>
      <c r="C26" s="635">
        <v>2171.0300000000002</v>
      </c>
      <c r="D26" s="635">
        <v>18410.399530899998</v>
      </c>
      <c r="E26" s="858"/>
      <c r="F26" s="691"/>
      <c r="G26" s="691"/>
      <c r="H26" s="691"/>
    </row>
    <row r="27" spans="1:8" s="228" customFormat="1" ht="12.2" customHeight="1">
      <c r="A27" s="607" t="s">
        <v>604</v>
      </c>
      <c r="B27" s="845">
        <v>48567</v>
      </c>
      <c r="C27" s="632">
        <v>1940.81</v>
      </c>
      <c r="D27" s="632">
        <v>16460.941198800003</v>
      </c>
      <c r="E27" s="858"/>
      <c r="F27" s="691"/>
      <c r="G27" s="691"/>
      <c r="H27" s="691"/>
    </row>
    <row r="28" spans="1:8" s="228" customFormat="1" ht="12.2" customHeight="1">
      <c r="A28" s="670" t="s">
        <v>2166</v>
      </c>
      <c r="B28" s="678">
        <f>SUM(B29:B40)</f>
        <v>988910</v>
      </c>
      <c r="C28" s="366">
        <f>SUM(C29:C40)</f>
        <v>21031.68</v>
      </c>
      <c r="D28" s="366">
        <f>SUM(D29:D40)</f>
        <v>181580.54109750001</v>
      </c>
      <c r="E28" s="858"/>
      <c r="F28" s="691"/>
      <c r="G28" s="691"/>
      <c r="H28" s="691"/>
    </row>
    <row r="29" spans="1:8" s="228" customFormat="1" ht="12.2" customHeight="1">
      <c r="A29" s="607" t="s">
        <v>606</v>
      </c>
      <c r="B29" s="845">
        <v>12380</v>
      </c>
      <c r="C29" s="632">
        <v>1871.49</v>
      </c>
      <c r="D29" s="632">
        <v>15870.9276513</v>
      </c>
      <c r="E29" s="858"/>
      <c r="F29" s="691"/>
      <c r="G29" s="691"/>
      <c r="H29" s="691"/>
    </row>
    <row r="30" spans="1:8" s="228" customFormat="1" ht="12.2" customHeight="1">
      <c r="A30" s="610" t="s">
        <v>607</v>
      </c>
      <c r="B30" s="704">
        <v>19604</v>
      </c>
      <c r="C30" s="635">
        <v>1810.1</v>
      </c>
      <c r="D30" s="635">
        <v>15377.215823</v>
      </c>
      <c r="E30" s="858"/>
      <c r="F30" s="691"/>
      <c r="G30" s="691"/>
      <c r="H30" s="691"/>
    </row>
    <row r="31" spans="1:8" s="228" customFormat="1" ht="12.2" customHeight="1">
      <c r="A31" s="607" t="s">
        <v>601</v>
      </c>
      <c r="B31" s="845">
        <v>42008</v>
      </c>
      <c r="C31" s="632">
        <v>1726.71</v>
      </c>
      <c r="D31" s="632">
        <v>14721.704987700003</v>
      </c>
      <c r="E31" s="858"/>
      <c r="F31" s="691"/>
      <c r="G31" s="691"/>
      <c r="H31" s="691"/>
    </row>
    <row r="32" spans="1:8" s="228" customFormat="1" ht="12.2" customHeight="1">
      <c r="A32" s="610" t="s">
        <v>608</v>
      </c>
      <c r="B32" s="704">
        <v>65223</v>
      </c>
      <c r="C32" s="635">
        <v>1646.87</v>
      </c>
      <c r="D32" s="635">
        <v>14099.199912700004</v>
      </c>
      <c r="E32" s="858"/>
      <c r="F32" s="691"/>
      <c r="G32" s="691"/>
      <c r="H32" s="691"/>
    </row>
    <row r="33" spans="1:9" s="228" customFormat="1" ht="12.2" customHeight="1">
      <c r="A33" s="607" t="s">
        <v>609</v>
      </c>
      <c r="B33" s="845">
        <v>102861</v>
      </c>
      <c r="C33" s="632">
        <v>1553.7</v>
      </c>
      <c r="D33" s="632">
        <v>13326.861749999998</v>
      </c>
      <c r="E33" s="858"/>
      <c r="F33" s="691"/>
      <c r="G33" s="691"/>
      <c r="H33" s="691"/>
    </row>
    <row r="34" spans="1:9" s="228" customFormat="1" ht="12.2" customHeight="1">
      <c r="A34" s="610" t="s">
        <v>602</v>
      </c>
      <c r="B34" s="704">
        <v>131316</v>
      </c>
      <c r="C34" s="635">
        <v>1630.66</v>
      </c>
      <c r="D34" s="635">
        <v>13991.0628</v>
      </c>
      <c r="E34" s="858"/>
      <c r="F34" s="691"/>
      <c r="G34" s="691"/>
      <c r="H34" s="691"/>
    </row>
    <row r="35" spans="1:9" s="228" customFormat="1" ht="12.2" customHeight="1">
      <c r="A35" s="607" t="s">
        <v>610</v>
      </c>
      <c r="B35" s="845">
        <v>109698</v>
      </c>
      <c r="C35" s="632">
        <v>1704.53</v>
      </c>
      <c r="D35" s="632">
        <v>14651.083071400004</v>
      </c>
      <c r="E35" s="858"/>
      <c r="F35" s="691"/>
      <c r="G35" s="691"/>
      <c r="H35" s="691"/>
    </row>
    <row r="36" spans="1:9" s="228" customFormat="1" ht="12.2" customHeight="1">
      <c r="A36" s="610" t="s">
        <v>611</v>
      </c>
      <c r="B36" s="704">
        <v>92569</v>
      </c>
      <c r="C36" s="635">
        <v>1494.47</v>
      </c>
      <c r="D36" s="635">
        <v>12852.442000000001</v>
      </c>
      <c r="E36" s="858"/>
      <c r="F36" s="691"/>
      <c r="G36" s="691"/>
      <c r="H36" s="691"/>
    </row>
    <row r="37" spans="1:9" s="228" customFormat="1" ht="12.2" customHeight="1">
      <c r="A37" s="607" t="s">
        <v>603</v>
      </c>
      <c r="B37" s="845">
        <v>120316</v>
      </c>
      <c r="C37" s="632">
        <v>1859.73</v>
      </c>
      <c r="D37" s="632">
        <v>16004.706198899998</v>
      </c>
      <c r="E37" s="858"/>
      <c r="F37" s="691"/>
      <c r="G37" s="691"/>
      <c r="H37" s="691"/>
      <c r="I37" s="691"/>
    </row>
    <row r="38" spans="1:9" s="228" customFormat="1" ht="12.2" customHeight="1">
      <c r="A38" s="610" t="s">
        <v>612</v>
      </c>
      <c r="B38" s="704">
        <v>103975</v>
      </c>
      <c r="C38" s="635">
        <v>2010.81</v>
      </c>
      <c r="D38" s="635">
        <v>17339.174413799999</v>
      </c>
      <c r="E38" s="858"/>
      <c r="F38" s="691"/>
      <c r="G38" s="691"/>
      <c r="H38" s="691"/>
    </row>
    <row r="39" spans="1:9" s="228" customFormat="1" ht="12.2" customHeight="1">
      <c r="A39" s="607" t="s">
        <v>613</v>
      </c>
      <c r="B39" s="845">
        <v>77421</v>
      </c>
      <c r="C39" s="632">
        <v>1885.34</v>
      </c>
      <c r="D39" s="632">
        <v>16436.903161799997</v>
      </c>
      <c r="E39" s="858"/>
      <c r="F39" s="691"/>
      <c r="G39" s="691"/>
      <c r="H39" s="691"/>
    </row>
    <row r="40" spans="1:9" s="228" customFormat="1" ht="12.2" customHeight="1">
      <c r="A40" s="610" t="s">
        <v>604</v>
      </c>
      <c r="B40" s="704">
        <v>111539</v>
      </c>
      <c r="C40" s="635">
        <v>1837.27</v>
      </c>
      <c r="D40" s="635">
        <v>16909.259326899999</v>
      </c>
      <c r="E40" s="858"/>
      <c r="F40" s="691"/>
      <c r="G40" s="691"/>
      <c r="H40" s="691"/>
    </row>
    <row r="41" spans="1:9" s="228" customFormat="1" ht="12.2" customHeight="1">
      <c r="A41" s="618" t="s">
        <v>2481</v>
      </c>
      <c r="B41" s="845"/>
      <c r="C41" s="632"/>
      <c r="D41" s="632"/>
      <c r="E41" s="858"/>
      <c r="F41" s="691"/>
      <c r="G41" s="691"/>
      <c r="H41" s="691"/>
    </row>
    <row r="42" spans="1:9" s="228" customFormat="1" ht="12.2" customHeight="1">
      <c r="A42" s="610" t="s">
        <v>606</v>
      </c>
      <c r="B42" s="704">
        <v>75499</v>
      </c>
      <c r="C42" s="635">
        <v>2096.3200000000002</v>
      </c>
      <c r="D42" s="635">
        <v>19681.7824736</v>
      </c>
      <c r="E42" s="858"/>
      <c r="F42" s="691"/>
      <c r="G42" s="691"/>
      <c r="H42" s="691"/>
    </row>
    <row r="43" spans="1:9" s="228" customFormat="1" ht="12.2" customHeight="1">
      <c r="A43" s="607" t="s">
        <v>607</v>
      </c>
      <c r="B43" s="845">
        <v>92908</v>
      </c>
      <c r="C43" s="632">
        <v>2036.93</v>
      </c>
      <c r="D43" s="632">
        <v>19331.6063808</v>
      </c>
      <c r="E43" s="858"/>
      <c r="F43" s="691"/>
      <c r="G43" s="691"/>
      <c r="H43" s="691"/>
    </row>
    <row r="44" spans="1:9" s="228" customFormat="1" ht="12.2" customHeight="1">
      <c r="A44" s="610" t="s">
        <v>601</v>
      </c>
      <c r="B44" s="704">
        <v>90814</v>
      </c>
      <c r="C44" s="635">
        <v>1539.6</v>
      </c>
      <c r="D44" s="635">
        <v>14720.946983999998</v>
      </c>
      <c r="E44" s="858"/>
      <c r="F44" s="691"/>
      <c r="G44" s="691"/>
      <c r="H44" s="691"/>
    </row>
    <row r="45" spans="1:9" s="228" customFormat="1" ht="12.2" customHeight="1">
      <c r="A45" s="607" t="s">
        <v>2657</v>
      </c>
      <c r="B45" s="845">
        <v>73134</v>
      </c>
      <c r="C45" s="632">
        <v>1525.54</v>
      </c>
      <c r="D45" s="632">
        <v>14739.065731600002</v>
      </c>
      <c r="E45" s="858"/>
      <c r="F45" s="691"/>
      <c r="G45" s="691"/>
      <c r="H45" s="691"/>
    </row>
    <row r="46" spans="1:9" s="228" customFormat="1" ht="12.2" customHeight="1" thickBot="1">
      <c r="A46" s="1633" t="s">
        <v>609</v>
      </c>
      <c r="B46" s="1685">
        <v>81181</v>
      </c>
      <c r="C46" s="1686">
        <v>1594.73</v>
      </c>
      <c r="D46" s="1686">
        <v>15567.020684199997</v>
      </c>
      <c r="E46" s="858"/>
      <c r="F46" s="691"/>
      <c r="G46" s="691"/>
      <c r="H46" s="691"/>
    </row>
    <row r="47" spans="1:9" ht="11.25" customHeight="1">
      <c r="A47" s="212" t="s">
        <v>1090</v>
      </c>
      <c r="B47" s="2094" t="s">
        <v>1457</v>
      </c>
      <c r="C47" s="2094"/>
      <c r="D47" s="216"/>
      <c r="F47" s="691"/>
      <c r="G47" s="691"/>
      <c r="H47" s="691"/>
    </row>
    <row r="48" spans="1:9" ht="11.25" customHeight="1">
      <c r="A48" s="212" t="s">
        <v>298</v>
      </c>
      <c r="B48" s="2094" t="s">
        <v>1422</v>
      </c>
      <c r="C48" s="2094"/>
      <c r="D48" s="271" t="s">
        <v>2386</v>
      </c>
      <c r="G48" s="691"/>
    </row>
    <row r="49" spans="1:8" ht="11.25" customHeight="1">
      <c r="A49" s="696"/>
      <c r="B49" s="763" t="s">
        <v>1439</v>
      </c>
      <c r="C49" s="763"/>
      <c r="D49" s="763"/>
      <c r="G49" s="691"/>
    </row>
    <row r="50" spans="1:8">
      <c r="A50" s="65"/>
      <c r="B50" s="1066"/>
      <c r="G50" s="691"/>
    </row>
    <row r="51" spans="1:8">
      <c r="A51" s="65"/>
      <c r="B51" s="966"/>
    </row>
    <row r="52" spans="1:8">
      <c r="A52" s="65"/>
      <c r="B52" s="74"/>
      <c r="F52" s="690"/>
      <c r="G52" s="690"/>
      <c r="H52" s="690"/>
    </row>
    <row r="53" spans="1:8">
      <c r="A53" s="65"/>
      <c r="B53" s="685"/>
      <c r="F53" s="690"/>
      <c r="G53" s="690"/>
      <c r="H53" s="690"/>
    </row>
    <row r="54" spans="1:8">
      <c r="A54" s="65"/>
      <c r="B54" s="685"/>
      <c r="F54" s="690"/>
      <c r="G54" s="690"/>
      <c r="H54" s="690"/>
    </row>
    <row r="55" spans="1:8">
      <c r="A55" s="65"/>
      <c r="B55" s="685"/>
      <c r="F55" s="690"/>
      <c r="G55" s="690"/>
      <c r="H55" s="690"/>
    </row>
    <row r="56" spans="1:8">
      <c r="A56" s="65"/>
      <c r="B56" s="74"/>
    </row>
    <row r="57" spans="1:8">
      <c r="A57" s="65"/>
      <c r="B57" s="74"/>
    </row>
    <row r="58" spans="1:8">
      <c r="A58" s="65"/>
      <c r="B58" s="74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8:C48"/>
    <mergeCell ref="B47:C47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45" firstPageNumber="83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9"/>
  <sheetViews>
    <sheetView zoomScale="140" zoomScaleNormal="14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L51" sqref="L51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09" t="s">
        <v>416</v>
      </c>
      <c r="B1" s="2109"/>
      <c r="C1" s="2109"/>
      <c r="D1" s="2109"/>
      <c r="E1" s="2109"/>
      <c r="F1" s="2109"/>
      <c r="G1" s="2109"/>
      <c r="H1" s="2109"/>
      <c r="I1" s="2109"/>
      <c r="J1" s="2109"/>
      <c r="K1" s="209" t="s">
        <v>354</v>
      </c>
      <c r="L1" s="61"/>
      <c r="M1" s="61"/>
      <c r="N1" s="61"/>
      <c r="O1" s="55"/>
      <c r="P1" s="55"/>
      <c r="Q1" s="55"/>
      <c r="R1" s="55"/>
      <c r="S1" s="55"/>
      <c r="T1" s="2109" t="s">
        <v>1213</v>
      </c>
      <c r="U1" s="2109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127" t="s">
        <v>24</v>
      </c>
      <c r="U2" s="2127"/>
    </row>
    <row r="3" spans="1:25" s="191" customFormat="1" ht="50.25" customHeight="1">
      <c r="A3" s="1111" t="s">
        <v>527</v>
      </c>
      <c r="B3" s="1106" t="s">
        <v>62</v>
      </c>
      <c r="C3" s="1106" t="s">
        <v>1491</v>
      </c>
      <c r="D3" s="1106" t="s">
        <v>1492</v>
      </c>
      <c r="E3" s="1106" t="s">
        <v>63</v>
      </c>
      <c r="F3" s="1106" t="s">
        <v>1493</v>
      </c>
      <c r="G3" s="1106" t="s">
        <v>64</v>
      </c>
      <c r="H3" s="1106" t="s">
        <v>65</v>
      </c>
      <c r="I3" s="1106" t="s">
        <v>66</v>
      </c>
      <c r="J3" s="1106" t="s">
        <v>67</v>
      </c>
      <c r="K3" s="1106" t="s">
        <v>68</v>
      </c>
      <c r="L3" s="1106" t="s">
        <v>69</v>
      </c>
      <c r="M3" s="1106" t="s">
        <v>70</v>
      </c>
      <c r="N3" s="1106" t="s">
        <v>71</v>
      </c>
      <c r="O3" s="1106" t="s">
        <v>560</v>
      </c>
      <c r="P3" s="1095" t="s">
        <v>582</v>
      </c>
      <c r="Q3" s="1095" t="s">
        <v>788</v>
      </c>
      <c r="R3" s="1095" t="s">
        <v>793</v>
      </c>
      <c r="S3" s="1095" t="s">
        <v>1679</v>
      </c>
      <c r="T3" s="1106" t="s">
        <v>72</v>
      </c>
      <c r="U3" s="1106" t="s">
        <v>523</v>
      </c>
    </row>
    <row r="4" spans="1:25" s="9" customFormat="1" ht="12.95" customHeight="1">
      <c r="A4" s="609" t="s">
        <v>81</v>
      </c>
      <c r="B4" s="588">
        <v>23709.401759999997</v>
      </c>
      <c r="C4" s="588">
        <v>13077.514040000002</v>
      </c>
      <c r="D4" s="588">
        <v>5723.8957499999997</v>
      </c>
      <c r="E4" s="588">
        <v>7050.7496800000008</v>
      </c>
      <c r="F4" s="588">
        <v>10044.25626</v>
      </c>
      <c r="G4" s="588">
        <v>10.44585</v>
      </c>
      <c r="H4" s="588">
        <v>2496.5547799999999</v>
      </c>
      <c r="I4" s="588">
        <v>2414.7833399999995</v>
      </c>
      <c r="J4" s="588">
        <v>1338.3879299999999</v>
      </c>
      <c r="K4" s="588">
        <v>114.11791000000001</v>
      </c>
      <c r="L4" s="588">
        <v>1177.0468499999997</v>
      </c>
      <c r="M4" s="588">
        <v>31.072650000000003</v>
      </c>
      <c r="N4" s="588">
        <v>101.95625</v>
      </c>
      <c r="O4" s="588">
        <v>4061.917840000001</v>
      </c>
      <c r="P4" s="588">
        <v>58.456209999999999</v>
      </c>
      <c r="Q4" s="588">
        <v>1259.92806</v>
      </c>
      <c r="R4" s="588">
        <v>143.63157000000001</v>
      </c>
      <c r="S4" s="588">
        <v>57.544499999999999</v>
      </c>
      <c r="T4" s="588">
        <v>3139.1719699999944</v>
      </c>
      <c r="U4" s="588">
        <f t="shared" ref="U4:U7" si="0">SUM(B4:T4)</f>
        <v>76010.833200000008</v>
      </c>
      <c r="V4" s="90"/>
      <c r="W4" s="90"/>
      <c r="X4" s="90"/>
      <c r="Y4" s="171"/>
    </row>
    <row r="5" spans="1:25" s="175" customFormat="1" ht="12.95" customHeight="1">
      <c r="A5" s="642" t="s">
        <v>199</v>
      </c>
      <c r="B5" s="587">
        <v>23447.611522103758</v>
      </c>
      <c r="C5" s="587">
        <v>14274.536554243999</v>
      </c>
      <c r="D5" s="587">
        <v>6329.345799345223</v>
      </c>
      <c r="E5" s="587">
        <v>7668.545797496</v>
      </c>
      <c r="F5" s="587">
        <v>13162.814794050668</v>
      </c>
      <c r="G5" s="587">
        <v>42.006690047596507</v>
      </c>
      <c r="H5" s="587">
        <v>2273.663133048</v>
      </c>
      <c r="I5" s="587">
        <v>2378.4981804742797</v>
      </c>
      <c r="J5" s="587">
        <v>1443.4474231873241</v>
      </c>
      <c r="K5" s="587">
        <v>184.06482744244911</v>
      </c>
      <c r="L5" s="587">
        <v>1326.4480618323998</v>
      </c>
      <c r="M5" s="587">
        <v>16.463787679999999</v>
      </c>
      <c r="N5" s="587">
        <v>108.62308996920061</v>
      </c>
      <c r="O5" s="587">
        <v>5011.1663160175985</v>
      </c>
      <c r="P5" s="587">
        <v>93.970096692639999</v>
      </c>
      <c r="Q5" s="587">
        <v>1538.1769608763173</v>
      </c>
      <c r="R5" s="587">
        <v>170.3696918419937</v>
      </c>
      <c r="S5" s="587">
        <v>79.384371033026895</v>
      </c>
      <c r="T5" s="587">
        <v>3459.7479699999994</v>
      </c>
      <c r="U5" s="703">
        <f t="shared" si="0"/>
        <v>83008.885067382464</v>
      </c>
      <c r="V5" s="532"/>
      <c r="W5" s="532"/>
      <c r="X5" s="532"/>
    </row>
    <row r="6" spans="1:25" s="9" customFormat="1" ht="12.95" customHeight="1">
      <c r="A6" s="609" t="s">
        <v>792</v>
      </c>
      <c r="B6" s="588">
        <v>29163.283242118639</v>
      </c>
      <c r="C6" s="588">
        <v>19038.108899337632</v>
      </c>
      <c r="D6" s="588">
        <v>7809.7835324582902</v>
      </c>
      <c r="E6" s="588">
        <v>9385.6420626336549</v>
      </c>
      <c r="F6" s="588">
        <v>11828.910059940725</v>
      </c>
      <c r="G6" s="588">
        <v>102.87052779546001</v>
      </c>
      <c r="H6" s="588">
        <v>2651.53684450951</v>
      </c>
      <c r="I6" s="588">
        <v>3174.0609841537071</v>
      </c>
      <c r="J6" s="588">
        <v>2481.4516458887801</v>
      </c>
      <c r="K6" s="588">
        <v>275.82418570616346</v>
      </c>
      <c r="L6" s="588">
        <v>2371.4713983471402</v>
      </c>
      <c r="M6" s="588">
        <v>8.9624438679999994</v>
      </c>
      <c r="N6" s="588">
        <v>173.68251222769157</v>
      </c>
      <c r="O6" s="588">
        <v>6712.3823075712635</v>
      </c>
      <c r="P6" s="588">
        <v>422.0270226909729</v>
      </c>
      <c r="Q6" s="588">
        <v>1914.8794293305637</v>
      </c>
      <c r="R6" s="588">
        <v>239.72250396515088</v>
      </c>
      <c r="S6" s="588">
        <v>178.82062360774498</v>
      </c>
      <c r="T6" s="588">
        <v>3658.1110738488965</v>
      </c>
      <c r="U6" s="588">
        <f t="shared" si="0"/>
        <v>101591.53129999999</v>
      </c>
      <c r="V6" s="90"/>
      <c r="W6" s="90"/>
      <c r="X6" s="90"/>
      <c r="Y6" s="171"/>
    </row>
    <row r="7" spans="1:25" s="175" customFormat="1" ht="12.95" customHeight="1">
      <c r="A7" s="642" t="s">
        <v>908</v>
      </c>
      <c r="B7" s="587">
        <v>30645.329417797999</v>
      </c>
      <c r="C7" s="587">
        <v>22629.954310562003</v>
      </c>
      <c r="D7" s="587">
        <v>7944.261095199</v>
      </c>
      <c r="E7" s="587">
        <v>9487.7621551789998</v>
      </c>
      <c r="F7" s="587">
        <v>14854.690027008</v>
      </c>
      <c r="G7" s="587">
        <v>459.92579137900003</v>
      </c>
      <c r="H7" s="587">
        <v>2297.8989676470005</v>
      </c>
      <c r="I7" s="587">
        <v>4875.3607362970006</v>
      </c>
      <c r="J7" s="587">
        <v>3983.3948069319999</v>
      </c>
      <c r="K7" s="587">
        <v>206.712431503</v>
      </c>
      <c r="L7" s="587">
        <v>2890.2409015500002</v>
      </c>
      <c r="M7" s="587">
        <v>21.251621922999998</v>
      </c>
      <c r="N7" s="587">
        <v>169.73017864899998</v>
      </c>
      <c r="O7" s="587">
        <v>7967.163443454001</v>
      </c>
      <c r="P7" s="587">
        <v>488.01441817900002</v>
      </c>
      <c r="Q7" s="587">
        <v>1866.267097298</v>
      </c>
      <c r="R7" s="587">
        <v>494.83839057</v>
      </c>
      <c r="S7" s="587">
        <v>156.27197931100002</v>
      </c>
      <c r="T7" s="587">
        <v>4207.0907388400001</v>
      </c>
      <c r="U7" s="703">
        <f t="shared" si="0"/>
        <v>115646.158509278</v>
      </c>
      <c r="V7" s="532"/>
      <c r="W7" s="532"/>
      <c r="X7" s="532"/>
    </row>
    <row r="8" spans="1:25" s="29" customFormat="1" ht="12.95" customHeight="1">
      <c r="A8" s="610" t="s">
        <v>1108</v>
      </c>
      <c r="B8" s="588">
        <v>24240.140711880998</v>
      </c>
      <c r="C8" s="588">
        <v>20866.964531202</v>
      </c>
      <c r="D8" s="588">
        <v>7004.6693670379991</v>
      </c>
      <c r="E8" s="588">
        <v>8602.8400845840006</v>
      </c>
      <c r="F8" s="588">
        <v>18056.862406150001</v>
      </c>
      <c r="G8" s="588">
        <v>559.41628836799998</v>
      </c>
      <c r="H8" s="588">
        <v>2001.5196785359999</v>
      </c>
      <c r="I8" s="588">
        <v>5448.4327879120001</v>
      </c>
      <c r="J8" s="588">
        <v>3335.1378381119998</v>
      </c>
      <c r="K8" s="588">
        <v>209.31088224700002</v>
      </c>
      <c r="L8" s="588">
        <v>3570.1673695179998</v>
      </c>
      <c r="M8" s="588">
        <v>3.0288693630000005</v>
      </c>
      <c r="N8" s="588">
        <v>132.67317405499998</v>
      </c>
      <c r="O8" s="588">
        <v>8274.3293595220002</v>
      </c>
      <c r="P8" s="588">
        <v>422.62113959999994</v>
      </c>
      <c r="Q8" s="588">
        <v>2095.1929835080005</v>
      </c>
      <c r="R8" s="588">
        <v>455.27028396500003</v>
      </c>
      <c r="S8" s="588">
        <v>137.56719587499998</v>
      </c>
      <c r="T8" s="588">
        <v>5166.238465553999</v>
      </c>
      <c r="U8" s="588">
        <v>110582.38341698998</v>
      </c>
      <c r="V8" s="532"/>
      <c r="W8" s="90"/>
      <c r="X8" s="90"/>
    </row>
    <row r="9" spans="1:25" s="29" customFormat="1" ht="12.95" customHeight="1">
      <c r="A9" s="607" t="s">
        <v>1167</v>
      </c>
      <c r="B9" s="587">
        <v>25987.258654580997</v>
      </c>
      <c r="C9" s="587">
        <v>21934.982243472998</v>
      </c>
      <c r="D9" s="587">
        <v>6309.8007089949997</v>
      </c>
      <c r="E9" s="587">
        <v>8371.9666337629988</v>
      </c>
      <c r="F9" s="587">
        <v>18489.105624444001</v>
      </c>
      <c r="G9" s="587">
        <v>355.14259886400004</v>
      </c>
      <c r="H9" s="587">
        <v>2409.4986989259996</v>
      </c>
      <c r="I9" s="587">
        <v>7109.6637192180006</v>
      </c>
      <c r="J9" s="587">
        <v>3444.4421886290006</v>
      </c>
      <c r="K9" s="587">
        <v>164.36111672899997</v>
      </c>
      <c r="L9" s="587">
        <v>4306.5368910809993</v>
      </c>
      <c r="M9" s="587">
        <v>1.0878520650000001</v>
      </c>
      <c r="N9" s="587">
        <v>126.68805762700001</v>
      </c>
      <c r="O9" s="587">
        <v>10732.610499937999</v>
      </c>
      <c r="P9" s="587">
        <v>480.40710343800004</v>
      </c>
      <c r="Q9" s="587">
        <v>2020.3891492669998</v>
      </c>
      <c r="R9" s="587">
        <v>469.14853845199997</v>
      </c>
      <c r="S9" s="587">
        <v>152.87326095199998</v>
      </c>
      <c r="T9" s="587">
        <v>6116.3519323189985</v>
      </c>
      <c r="U9" s="587">
        <v>118982.31547276098</v>
      </c>
      <c r="V9" s="532"/>
      <c r="W9" s="532"/>
      <c r="X9" s="532"/>
    </row>
    <row r="10" spans="1:25" s="29" customFormat="1" ht="12.95" customHeight="1">
      <c r="A10" s="610" t="s">
        <v>1299</v>
      </c>
      <c r="B10" s="588">
        <v>23165.843384732998</v>
      </c>
      <c r="C10" s="588">
        <v>21248.75908046</v>
      </c>
      <c r="D10" s="588">
        <v>6747.2028958150004</v>
      </c>
      <c r="E10" s="588">
        <v>8122.9117313530023</v>
      </c>
      <c r="F10" s="588">
        <v>18889.249921554001</v>
      </c>
      <c r="G10" s="588">
        <v>95.893180836999989</v>
      </c>
      <c r="H10" s="588">
        <v>3379.2433817339997</v>
      </c>
      <c r="I10" s="588">
        <v>7132.6719513709986</v>
      </c>
      <c r="J10" s="588">
        <v>3046.1566874470004</v>
      </c>
      <c r="K10" s="588">
        <v>204.66359045500002</v>
      </c>
      <c r="L10" s="588">
        <v>3806.9407668829999</v>
      </c>
      <c r="M10" s="588">
        <v>1.4088847410000001</v>
      </c>
      <c r="N10" s="588">
        <v>178.34404229900002</v>
      </c>
      <c r="O10" s="588">
        <v>10364.006886042</v>
      </c>
      <c r="P10" s="588">
        <v>540.57418486999995</v>
      </c>
      <c r="Q10" s="588">
        <v>2736.7067065770002</v>
      </c>
      <c r="R10" s="588">
        <v>506.556349066</v>
      </c>
      <c r="S10" s="588">
        <v>211.20321155199997</v>
      </c>
      <c r="T10" s="588">
        <v>6478.3840429919992</v>
      </c>
      <c r="U10" s="588">
        <v>116856.72088078098</v>
      </c>
      <c r="V10" s="90"/>
      <c r="W10" s="90"/>
      <c r="X10" s="90"/>
    </row>
    <row r="11" spans="1:25" s="29" customFormat="1" ht="12.95" customHeight="1">
      <c r="A11" s="607" t="s">
        <v>1332</v>
      </c>
      <c r="B11" s="587">
        <v>17943.426236539002</v>
      </c>
      <c r="C11" s="587">
        <v>16573.528397069</v>
      </c>
      <c r="D11" s="587">
        <v>6405.7376632189998</v>
      </c>
      <c r="E11" s="587">
        <v>8180.2432115789998</v>
      </c>
      <c r="F11" s="587">
        <v>13373.095621944</v>
      </c>
      <c r="G11" s="587">
        <v>17.628407153000001</v>
      </c>
      <c r="H11" s="587">
        <v>4562.3081073049998</v>
      </c>
      <c r="I11" s="587">
        <v>7107.4456062180016</v>
      </c>
      <c r="J11" s="587">
        <v>2380.5595638059999</v>
      </c>
      <c r="K11" s="587">
        <v>251.78556692700002</v>
      </c>
      <c r="L11" s="587">
        <v>3465.3919270970009</v>
      </c>
      <c r="M11" s="587">
        <v>0.15725730799999998</v>
      </c>
      <c r="N11" s="587">
        <v>181.68376342400001</v>
      </c>
      <c r="O11" s="587">
        <v>8729.7625331060008</v>
      </c>
      <c r="P11" s="587">
        <v>411.69327297199999</v>
      </c>
      <c r="Q11" s="587">
        <v>4047.0763187749994</v>
      </c>
      <c r="R11" s="587">
        <v>638.67820879400006</v>
      </c>
      <c r="S11" s="587">
        <v>150.208864742</v>
      </c>
      <c r="T11" s="587">
        <v>6678.5518861929977</v>
      </c>
      <c r="U11" s="587">
        <v>101098.96241417</v>
      </c>
      <c r="V11" s="532"/>
      <c r="W11" s="532"/>
      <c r="X11" s="532"/>
    </row>
    <row r="12" spans="1:25" s="29" customFormat="1" ht="12.95" customHeight="1">
      <c r="A12" s="610" t="s">
        <v>1471</v>
      </c>
      <c r="B12" s="588">
        <v>21303.057974675001</v>
      </c>
      <c r="C12" s="588">
        <v>19981.775415710003</v>
      </c>
      <c r="D12" s="588">
        <v>9090.1559443150018</v>
      </c>
      <c r="E12" s="588">
        <v>9868.4859093200012</v>
      </c>
      <c r="F12" s="588">
        <v>16410.639824310001</v>
      </c>
      <c r="G12" s="588">
        <v>19.443675874999997</v>
      </c>
      <c r="H12" s="588">
        <v>6950.4103529849999</v>
      </c>
      <c r="I12" s="588">
        <v>7874.3254532150004</v>
      </c>
      <c r="J12" s="588">
        <v>2715.2346651450002</v>
      </c>
      <c r="K12" s="588">
        <v>330.55203132999998</v>
      </c>
      <c r="L12" s="588">
        <v>4451.4895316450002</v>
      </c>
      <c r="M12" s="588">
        <v>0.3327156</v>
      </c>
      <c r="N12" s="588">
        <v>258.69044694500002</v>
      </c>
      <c r="O12" s="588">
        <v>9103.3843674349991</v>
      </c>
      <c r="P12" s="588">
        <v>464.68689706499993</v>
      </c>
      <c r="Q12" s="588">
        <v>5434.0171208399997</v>
      </c>
      <c r="R12" s="588">
        <v>791.06830617999992</v>
      </c>
      <c r="S12" s="588">
        <v>174.71432794999998</v>
      </c>
      <c r="T12" s="588">
        <v>7933.5399799049983</v>
      </c>
      <c r="U12" s="588">
        <v>123156.00494044498</v>
      </c>
      <c r="V12" s="532"/>
      <c r="W12" s="532"/>
      <c r="X12" s="532"/>
    </row>
    <row r="13" spans="1:25" s="29" customFormat="1" ht="12.95" customHeight="1">
      <c r="A13" s="607" t="s">
        <v>1600</v>
      </c>
      <c r="B13" s="587">
        <v>26143.3635736</v>
      </c>
      <c r="C13" s="587">
        <v>21351.112195200003</v>
      </c>
      <c r="D13" s="587">
        <v>9882.1187704000004</v>
      </c>
      <c r="E13" s="587">
        <v>12301.017555900002</v>
      </c>
      <c r="F13" s="587">
        <v>15488.6576974</v>
      </c>
      <c r="G13" s="587">
        <v>65.783767699999999</v>
      </c>
      <c r="H13" s="587">
        <v>8605.6801902999996</v>
      </c>
      <c r="I13" s="587">
        <v>8960.9986872000009</v>
      </c>
      <c r="J13" s="587">
        <v>3096.0592743000002</v>
      </c>
      <c r="K13" s="587">
        <v>509.60950109999999</v>
      </c>
      <c r="L13" s="587">
        <v>3950.0114481000001</v>
      </c>
      <c r="M13" s="587">
        <v>0</v>
      </c>
      <c r="N13" s="587">
        <v>416.43734380000012</v>
      </c>
      <c r="O13" s="587">
        <v>10065.4388858</v>
      </c>
      <c r="P13" s="587">
        <v>480.4309207</v>
      </c>
      <c r="Q13" s="587">
        <v>6368.1924249999993</v>
      </c>
      <c r="R13" s="587">
        <v>945.79052019999995</v>
      </c>
      <c r="S13" s="587">
        <v>168.7680048</v>
      </c>
      <c r="T13" s="587">
        <v>9207.1009232000051</v>
      </c>
      <c r="U13" s="587">
        <v>138006.57168470003</v>
      </c>
      <c r="V13" s="532"/>
      <c r="W13" s="532"/>
      <c r="X13" s="532"/>
    </row>
    <row r="14" spans="1:25" s="864" customFormat="1" ht="12.95" customHeight="1">
      <c r="A14" s="611" t="s">
        <v>1695</v>
      </c>
      <c r="B14" s="597">
        <v>34046.098481299996</v>
      </c>
      <c r="C14" s="597">
        <v>20962.529843</v>
      </c>
      <c r="D14" s="597">
        <v>11571.721058799998</v>
      </c>
      <c r="E14" s="597">
        <v>11633.0822479</v>
      </c>
      <c r="F14" s="597">
        <v>20382.712716000005</v>
      </c>
      <c r="G14" s="597">
        <v>34.065723600000005</v>
      </c>
      <c r="H14" s="597">
        <v>8643.3577769000003</v>
      </c>
      <c r="I14" s="597">
        <v>10517.8744919</v>
      </c>
      <c r="J14" s="597">
        <v>3878.3621465999995</v>
      </c>
      <c r="K14" s="597">
        <v>447.22381150000001</v>
      </c>
      <c r="L14" s="597">
        <v>3706.6695920999996</v>
      </c>
      <c r="M14" s="597">
        <v>8.4499999999999992E-2</v>
      </c>
      <c r="N14" s="597">
        <v>418.39038869999996</v>
      </c>
      <c r="O14" s="597">
        <v>10439.316572900001</v>
      </c>
      <c r="P14" s="597">
        <v>519.89813179999999</v>
      </c>
      <c r="Q14" s="597">
        <v>5926.4297523000005</v>
      </c>
      <c r="R14" s="597">
        <v>1507.8597989999998</v>
      </c>
      <c r="S14" s="597">
        <v>144.8888565</v>
      </c>
      <c r="T14" s="597">
        <v>9572.4952561000027</v>
      </c>
      <c r="U14" s="597">
        <v>154353.06114690003</v>
      </c>
      <c r="V14" s="30"/>
      <c r="W14" s="30"/>
      <c r="X14" s="30"/>
    </row>
    <row r="15" spans="1:25" s="864" customFormat="1" ht="12.95" customHeight="1">
      <c r="A15" s="612" t="s">
        <v>1764</v>
      </c>
      <c r="B15" s="608">
        <f t="shared" ref="B15:T15" si="1">SUM(B16:B27)</f>
        <v>48521.200303699996</v>
      </c>
      <c r="C15" s="608">
        <f t="shared" si="1"/>
        <v>20692.835907599998</v>
      </c>
      <c r="D15" s="608">
        <f t="shared" si="1"/>
        <v>17161.472797799997</v>
      </c>
      <c r="E15" s="608">
        <f t="shared" si="1"/>
        <v>15998.640572499999</v>
      </c>
      <c r="F15" s="608">
        <f t="shared" si="1"/>
        <v>29357.019671900005</v>
      </c>
      <c r="G15" s="608">
        <f t="shared" si="1"/>
        <v>59.023163700000005</v>
      </c>
      <c r="H15" s="608">
        <f t="shared" si="1"/>
        <v>12298.410095000001</v>
      </c>
      <c r="I15" s="608">
        <f t="shared" si="1"/>
        <v>13023.291548699999</v>
      </c>
      <c r="J15" s="608">
        <f t="shared" si="1"/>
        <v>5299.2566540000007</v>
      </c>
      <c r="K15" s="608">
        <f t="shared" si="1"/>
        <v>567.26565100000005</v>
      </c>
      <c r="L15" s="608">
        <f t="shared" si="1"/>
        <v>4899.6029505999995</v>
      </c>
      <c r="M15" s="608">
        <f t="shared" si="1"/>
        <v>8.4802499999999989E-2</v>
      </c>
      <c r="N15" s="608">
        <f t="shared" si="1"/>
        <v>674.5472201</v>
      </c>
      <c r="O15" s="608">
        <f t="shared" si="1"/>
        <v>16981.377058799997</v>
      </c>
      <c r="P15" s="608">
        <f t="shared" si="1"/>
        <v>1202.2905979</v>
      </c>
      <c r="Q15" s="608">
        <f t="shared" si="1"/>
        <v>6877.0052047999989</v>
      </c>
      <c r="R15" s="608">
        <f t="shared" si="1"/>
        <v>1773.7958544999999</v>
      </c>
      <c r="S15" s="608">
        <f t="shared" si="1"/>
        <v>181.14529060000001</v>
      </c>
      <c r="T15" s="608">
        <f t="shared" si="1"/>
        <v>14562.336121399996</v>
      </c>
      <c r="U15" s="608">
        <f>SUM(B15:T15)</f>
        <v>210130.6014671</v>
      </c>
      <c r="V15" s="30"/>
      <c r="W15" s="30"/>
      <c r="X15" s="30"/>
    </row>
    <row r="16" spans="1:25" s="864" customFormat="1" ht="12.95" customHeight="1">
      <c r="A16" s="610" t="s">
        <v>606</v>
      </c>
      <c r="B16" s="879">
        <v>5365.20712</v>
      </c>
      <c r="C16" s="879">
        <v>2411.0355359999999</v>
      </c>
      <c r="D16" s="879">
        <v>1560.6256119999998</v>
      </c>
      <c r="E16" s="879">
        <v>1467.8412839999999</v>
      </c>
      <c r="F16" s="879">
        <v>2913.6314480000001</v>
      </c>
      <c r="G16" s="879">
        <v>3.2228560000000002</v>
      </c>
      <c r="H16" s="879">
        <v>1082.7948039999999</v>
      </c>
      <c r="I16" s="879">
        <v>1680.804216</v>
      </c>
      <c r="J16" s="879">
        <v>702.328172</v>
      </c>
      <c r="K16" s="879">
        <v>48.7669</v>
      </c>
      <c r="L16" s="879">
        <v>514.89365199999997</v>
      </c>
      <c r="M16" s="879">
        <v>0</v>
      </c>
      <c r="N16" s="879">
        <v>74.888995999999992</v>
      </c>
      <c r="O16" s="879">
        <v>1997.9162839999997</v>
      </c>
      <c r="P16" s="879">
        <v>104.23394799999998</v>
      </c>
      <c r="Q16" s="879">
        <v>569.00370799999996</v>
      </c>
      <c r="R16" s="879">
        <v>179.63181600000001</v>
      </c>
      <c r="S16" s="879">
        <v>15.181348</v>
      </c>
      <c r="T16" s="879">
        <v>1343.9309520000002</v>
      </c>
      <c r="U16" s="879">
        <f t="shared" ref="U16:U40" si="2">SUM(B16:T16)</f>
        <v>22035.938651999997</v>
      </c>
      <c r="V16" s="30"/>
      <c r="W16" s="30"/>
      <c r="X16" s="30"/>
    </row>
    <row r="17" spans="1:24" s="864" customFormat="1" ht="12.95" customHeight="1">
      <c r="A17" s="607" t="s">
        <v>607</v>
      </c>
      <c r="B17" s="858">
        <v>3822.6756620000001</v>
      </c>
      <c r="C17" s="858">
        <v>1999.0613569999998</v>
      </c>
      <c r="D17" s="858">
        <v>1247.6423339999999</v>
      </c>
      <c r="E17" s="858">
        <v>1160.173325</v>
      </c>
      <c r="F17" s="858">
        <v>1864.082508</v>
      </c>
      <c r="G17" s="858">
        <v>1.8664580000000002</v>
      </c>
      <c r="H17" s="858">
        <v>865.69715599999995</v>
      </c>
      <c r="I17" s="858">
        <v>1141.6784229999998</v>
      </c>
      <c r="J17" s="858">
        <v>510.39142400000003</v>
      </c>
      <c r="K17" s="858">
        <v>39.110779000000001</v>
      </c>
      <c r="L17" s="858">
        <v>392.21069699999998</v>
      </c>
      <c r="M17" s="858">
        <v>0</v>
      </c>
      <c r="N17" s="858">
        <v>50.055010000000003</v>
      </c>
      <c r="O17" s="858">
        <v>1665.4744089999999</v>
      </c>
      <c r="P17" s="858">
        <v>85.602550999999991</v>
      </c>
      <c r="Q17" s="858">
        <v>686.26267099999995</v>
      </c>
      <c r="R17" s="858">
        <v>125.222364</v>
      </c>
      <c r="S17" s="858">
        <v>12.725849999999999</v>
      </c>
      <c r="T17" s="858">
        <v>991.93758800000069</v>
      </c>
      <c r="U17" s="858">
        <f t="shared" si="2"/>
        <v>16661.870566000001</v>
      </c>
      <c r="V17" s="30"/>
      <c r="W17" s="30"/>
      <c r="X17" s="30"/>
    </row>
    <row r="18" spans="1:24" s="864" customFormat="1" ht="12.95" customHeight="1">
      <c r="A18" s="610" t="s">
        <v>601</v>
      </c>
      <c r="B18" s="879">
        <v>4502.4191324999993</v>
      </c>
      <c r="C18" s="879">
        <v>1963.517085</v>
      </c>
      <c r="D18" s="879">
        <v>1569.4398674999998</v>
      </c>
      <c r="E18" s="879">
        <v>1327.4983349999998</v>
      </c>
      <c r="F18" s="879">
        <v>2136.514185</v>
      </c>
      <c r="G18" s="879">
        <v>1.9504575</v>
      </c>
      <c r="H18" s="879">
        <v>990.57800250000003</v>
      </c>
      <c r="I18" s="879">
        <v>1299.5983124999998</v>
      </c>
      <c r="J18" s="879">
        <v>390.85472250000004</v>
      </c>
      <c r="K18" s="879">
        <v>41.553225000000005</v>
      </c>
      <c r="L18" s="879">
        <v>449.02923750000002</v>
      </c>
      <c r="M18" s="879">
        <v>8.4802499999999989E-2</v>
      </c>
      <c r="N18" s="879">
        <v>56.732872499999999</v>
      </c>
      <c r="O18" s="879">
        <v>1487.0966400000002</v>
      </c>
      <c r="P18" s="879">
        <v>102.01740749999999</v>
      </c>
      <c r="Q18" s="879">
        <v>668.49810749999995</v>
      </c>
      <c r="R18" s="879">
        <v>167.40013499999998</v>
      </c>
      <c r="S18" s="879">
        <v>13.398795000000002</v>
      </c>
      <c r="T18" s="879">
        <v>1073.2604400000014</v>
      </c>
      <c r="U18" s="879">
        <f t="shared" si="2"/>
        <v>18241.441762500002</v>
      </c>
      <c r="V18" s="30"/>
      <c r="W18" s="30"/>
      <c r="X18" s="30"/>
    </row>
    <row r="19" spans="1:24" s="864" customFormat="1" ht="12.95" customHeight="1">
      <c r="A19" s="607" t="s">
        <v>608</v>
      </c>
      <c r="B19" s="858">
        <v>4237.6557333000001</v>
      </c>
      <c r="C19" s="858">
        <v>1826.5567397</v>
      </c>
      <c r="D19" s="858">
        <v>1457.7515370000001</v>
      </c>
      <c r="E19" s="858">
        <v>1315.9620914000002</v>
      </c>
      <c r="F19" s="858">
        <v>2335.6249465999999</v>
      </c>
      <c r="G19" s="858">
        <v>3.4768943000000001</v>
      </c>
      <c r="H19" s="858">
        <v>871.93724859999998</v>
      </c>
      <c r="I19" s="858">
        <v>1322.1526593000001</v>
      </c>
      <c r="J19" s="858">
        <v>396.02674100000002</v>
      </c>
      <c r="K19" s="858">
        <v>40.0266856</v>
      </c>
      <c r="L19" s="858">
        <v>381.61035000000004</v>
      </c>
      <c r="M19" s="858">
        <v>0</v>
      </c>
      <c r="N19" s="858">
        <v>57.156750199999998</v>
      </c>
      <c r="O19" s="858">
        <v>1588.4318813</v>
      </c>
      <c r="P19" s="858">
        <v>82.343033300000016</v>
      </c>
      <c r="Q19" s="858">
        <v>541.5474878</v>
      </c>
      <c r="R19" s="858">
        <v>222.69083979999999</v>
      </c>
      <c r="S19" s="858">
        <v>10.345880599999999</v>
      </c>
      <c r="T19" s="858">
        <v>1135.5027969999987</v>
      </c>
      <c r="U19" s="858">
        <f t="shared" si="2"/>
        <v>17826.8002968</v>
      </c>
      <c r="V19" s="30"/>
      <c r="W19" s="30"/>
      <c r="X19" s="30"/>
    </row>
    <row r="20" spans="1:24" s="864" customFormat="1" ht="12.95" customHeight="1">
      <c r="A20" s="610" t="s">
        <v>609</v>
      </c>
      <c r="B20" s="879">
        <v>3994.0187495</v>
      </c>
      <c r="C20" s="879">
        <v>1790.6473579999997</v>
      </c>
      <c r="D20" s="879">
        <v>1516.2329400000001</v>
      </c>
      <c r="E20" s="879">
        <v>1310.2525254999998</v>
      </c>
      <c r="F20" s="879">
        <v>2319.2936749999999</v>
      </c>
      <c r="G20" s="879">
        <v>2.9680174999999998</v>
      </c>
      <c r="H20" s="879">
        <v>954.00562500000001</v>
      </c>
      <c r="I20" s="879">
        <v>1086.124804</v>
      </c>
      <c r="J20" s="879">
        <v>488.19647850000001</v>
      </c>
      <c r="K20" s="879">
        <v>48.421085499999997</v>
      </c>
      <c r="L20" s="879">
        <v>406.19439499999999</v>
      </c>
      <c r="M20" s="879">
        <v>0</v>
      </c>
      <c r="N20" s="879">
        <v>61.819564499999998</v>
      </c>
      <c r="O20" s="879">
        <v>1598.5742255</v>
      </c>
      <c r="P20" s="879">
        <v>100.14939050000001</v>
      </c>
      <c r="Q20" s="879">
        <v>511.43181549999997</v>
      </c>
      <c r="R20" s="879">
        <v>218.7004895</v>
      </c>
      <c r="S20" s="879">
        <v>12.9744765</v>
      </c>
      <c r="T20" s="879">
        <v>1207.8135214999986</v>
      </c>
      <c r="U20" s="879">
        <f t="shared" si="2"/>
        <v>17627.819137000002</v>
      </c>
      <c r="V20" s="30"/>
      <c r="W20" s="30"/>
      <c r="X20" s="30"/>
    </row>
    <row r="21" spans="1:24" s="864" customFormat="1" ht="12.95" customHeight="1">
      <c r="A21" s="607" t="s">
        <v>602</v>
      </c>
      <c r="B21" s="858">
        <v>4091.1056731999997</v>
      </c>
      <c r="C21" s="858">
        <v>1654.5386533000001</v>
      </c>
      <c r="D21" s="858">
        <v>1298.5469939</v>
      </c>
      <c r="E21" s="858">
        <v>1384.4496977999997</v>
      </c>
      <c r="F21" s="858">
        <v>2394.3364704999999</v>
      </c>
      <c r="G21" s="858">
        <v>5.5968198000000005</v>
      </c>
      <c r="H21" s="858">
        <v>953.15537199999994</v>
      </c>
      <c r="I21" s="858">
        <v>843.84778530000006</v>
      </c>
      <c r="J21" s="858">
        <v>434.09273569999993</v>
      </c>
      <c r="K21" s="858">
        <v>54.865794099999995</v>
      </c>
      <c r="L21" s="858">
        <v>429.85272069999991</v>
      </c>
      <c r="M21" s="858">
        <v>0</v>
      </c>
      <c r="N21" s="858">
        <v>73.097858599999981</v>
      </c>
      <c r="O21" s="858">
        <v>1387.5873088999999</v>
      </c>
      <c r="P21" s="858">
        <v>112.44519779999999</v>
      </c>
      <c r="Q21" s="858">
        <v>674.75598709999986</v>
      </c>
      <c r="R21" s="858">
        <v>190.03747229999999</v>
      </c>
      <c r="S21" s="858">
        <v>17.299261199999997</v>
      </c>
      <c r="T21" s="858">
        <v>1389.9617173000006</v>
      </c>
      <c r="U21" s="858">
        <f t="shared" si="2"/>
        <v>17389.573519500002</v>
      </c>
      <c r="V21" s="30"/>
      <c r="W21" s="30"/>
      <c r="X21" s="30"/>
    </row>
    <row r="22" spans="1:24" s="864" customFormat="1" ht="12.95" customHeight="1">
      <c r="A22" s="610" t="s">
        <v>610</v>
      </c>
      <c r="B22" s="879">
        <v>3935.4494488000005</v>
      </c>
      <c r="C22" s="879">
        <v>1557.3722015000001</v>
      </c>
      <c r="D22" s="879">
        <v>1303.3929069999999</v>
      </c>
      <c r="E22" s="879">
        <v>1392.0948576000001</v>
      </c>
      <c r="F22" s="879">
        <v>2416.4073445000004</v>
      </c>
      <c r="G22" s="879">
        <v>12.4657617</v>
      </c>
      <c r="H22" s="879">
        <v>960.03325310000002</v>
      </c>
      <c r="I22" s="879">
        <v>903.38611830000013</v>
      </c>
      <c r="J22" s="879">
        <v>430.36558249999996</v>
      </c>
      <c r="K22" s="879">
        <v>52.322278700000005</v>
      </c>
      <c r="L22" s="879">
        <v>399.49798210000006</v>
      </c>
      <c r="M22" s="879">
        <v>0</v>
      </c>
      <c r="N22" s="879">
        <v>61.141593100000001</v>
      </c>
      <c r="O22" s="879">
        <v>1181.3641241</v>
      </c>
      <c r="P22" s="879">
        <v>106.59498270000002</v>
      </c>
      <c r="Q22" s="879">
        <v>525.17321230000005</v>
      </c>
      <c r="R22" s="879">
        <v>114.5662861</v>
      </c>
      <c r="S22" s="879">
        <v>12.720165</v>
      </c>
      <c r="T22" s="879">
        <v>1272.8645110000002</v>
      </c>
      <c r="U22" s="879">
        <f t="shared" si="2"/>
        <v>16637.212610100003</v>
      </c>
      <c r="V22" s="30"/>
      <c r="W22" s="30"/>
      <c r="X22" s="30"/>
    </row>
    <row r="23" spans="1:24" s="864" customFormat="1" ht="12.95" customHeight="1">
      <c r="A23" s="607" t="s">
        <v>611</v>
      </c>
      <c r="B23" s="858">
        <v>3390.1623846000002</v>
      </c>
      <c r="C23" s="858">
        <v>1291.7690631</v>
      </c>
      <c r="D23" s="858">
        <v>1366.9024833000001</v>
      </c>
      <c r="E23" s="858">
        <v>1257.0007761000002</v>
      </c>
      <c r="F23" s="858">
        <v>2197.7797419000003</v>
      </c>
      <c r="G23" s="858">
        <v>12.550503600000001</v>
      </c>
      <c r="H23" s="858">
        <v>938.31974550000018</v>
      </c>
      <c r="I23" s="858">
        <v>751.24940130000005</v>
      </c>
      <c r="J23" s="858">
        <v>368.54384220000003</v>
      </c>
      <c r="K23" s="858">
        <v>47.149189200000002</v>
      </c>
      <c r="L23" s="858">
        <v>343.442835</v>
      </c>
      <c r="M23" s="858">
        <v>0</v>
      </c>
      <c r="N23" s="858">
        <v>43.926762600000004</v>
      </c>
      <c r="O23" s="858">
        <v>1218.7556604000001</v>
      </c>
      <c r="P23" s="858">
        <v>94.722381900000002</v>
      </c>
      <c r="Q23" s="858">
        <v>444.94927290000004</v>
      </c>
      <c r="R23" s="858">
        <v>115.4137527</v>
      </c>
      <c r="S23" s="858">
        <v>13.822514100000001</v>
      </c>
      <c r="T23" s="858">
        <v>1203.0675309000003</v>
      </c>
      <c r="U23" s="858">
        <f t="shared" si="2"/>
        <v>15099.5278413</v>
      </c>
      <c r="V23" s="30"/>
      <c r="W23" s="30"/>
      <c r="X23" s="30"/>
    </row>
    <row r="24" spans="1:24" s="864" customFormat="1" ht="12.95" customHeight="1">
      <c r="A24" s="610" t="s">
        <v>603</v>
      </c>
      <c r="B24" s="879">
        <v>3614.0447561999999</v>
      </c>
      <c r="C24" s="879">
        <v>1442.2089062999999</v>
      </c>
      <c r="D24" s="879">
        <v>1537.6099187999998</v>
      </c>
      <c r="E24" s="879">
        <v>1352.1503504999998</v>
      </c>
      <c r="F24" s="879">
        <v>2531.8156704000003</v>
      </c>
      <c r="G24" s="879">
        <v>6.2752666000000001</v>
      </c>
      <c r="H24" s="879">
        <v>1004.042656</v>
      </c>
      <c r="I24" s="879">
        <v>901.26396520000003</v>
      </c>
      <c r="J24" s="879">
        <v>362.35424569999998</v>
      </c>
      <c r="K24" s="879">
        <v>45.283680599999997</v>
      </c>
      <c r="L24" s="879">
        <v>378.9752221</v>
      </c>
      <c r="M24" s="879">
        <v>0</v>
      </c>
      <c r="N24" s="879">
        <v>46.725295899999999</v>
      </c>
      <c r="O24" s="879">
        <v>1113.1814143000001</v>
      </c>
      <c r="P24" s="879">
        <v>100.48906649999999</v>
      </c>
      <c r="Q24" s="879">
        <v>479.37948770000003</v>
      </c>
      <c r="R24" s="879">
        <v>111.3435817</v>
      </c>
      <c r="S24" s="879">
        <v>14.8401575</v>
      </c>
      <c r="T24" s="879">
        <v>1163.2987462000001</v>
      </c>
      <c r="U24" s="879">
        <f t="shared" si="2"/>
        <v>16205.282388200001</v>
      </c>
      <c r="V24" s="30"/>
      <c r="W24" s="30"/>
      <c r="X24" s="30"/>
    </row>
    <row r="25" spans="1:24" s="864" customFormat="1" ht="12.95" customHeight="1">
      <c r="A25" s="607" t="s">
        <v>612</v>
      </c>
      <c r="B25" s="858">
        <v>3714.7078050000005</v>
      </c>
      <c r="C25" s="858">
        <v>1543.2933990000001</v>
      </c>
      <c r="D25" s="858">
        <v>1556.7767580000002</v>
      </c>
      <c r="E25" s="858">
        <v>1376.5746330000002</v>
      </c>
      <c r="F25" s="858">
        <v>2919.1048230000006</v>
      </c>
      <c r="G25" s="858">
        <v>2.3744280000000004</v>
      </c>
      <c r="H25" s="858">
        <v>1178.479497</v>
      </c>
      <c r="I25" s="858">
        <v>949.60159799999997</v>
      </c>
      <c r="J25" s="858">
        <v>393.22223700000001</v>
      </c>
      <c r="K25" s="858">
        <v>49.608584999999998</v>
      </c>
      <c r="L25" s="858">
        <v>384.31813199999999</v>
      </c>
      <c r="M25" s="858">
        <v>0</v>
      </c>
      <c r="N25" s="858">
        <v>51.983013000000007</v>
      </c>
      <c r="O25" s="858">
        <v>1380.6450810000001</v>
      </c>
      <c r="P25" s="858">
        <v>116.17737</v>
      </c>
      <c r="Q25" s="858">
        <v>520.84774200000004</v>
      </c>
      <c r="R25" s="858">
        <v>129.660729</v>
      </c>
      <c r="S25" s="858">
        <v>18.486618</v>
      </c>
      <c r="T25" s="858">
        <v>1247.9315159999978</v>
      </c>
      <c r="U25" s="858">
        <f t="shared" si="2"/>
        <v>17533.793963999997</v>
      </c>
      <c r="V25" s="30"/>
      <c r="W25" s="30"/>
      <c r="X25" s="30"/>
    </row>
    <row r="26" spans="1:24" s="864" customFormat="1" ht="12.95" customHeight="1">
      <c r="A26" s="610" t="s">
        <v>613</v>
      </c>
      <c r="B26" s="879">
        <v>4037.3422829999995</v>
      </c>
      <c r="C26" s="879">
        <v>1685.9147643000001</v>
      </c>
      <c r="D26" s="879">
        <v>1524.4549930999999</v>
      </c>
      <c r="E26" s="879">
        <v>1346.1199621999999</v>
      </c>
      <c r="F26" s="879">
        <v>2836.5700349999997</v>
      </c>
      <c r="G26" s="879">
        <v>3.4768122999999997</v>
      </c>
      <c r="H26" s="879">
        <v>1229.5195497</v>
      </c>
      <c r="I26" s="879">
        <v>1138.1896265999999</v>
      </c>
      <c r="J26" s="879">
        <v>453.42720409999993</v>
      </c>
      <c r="K26" s="879">
        <v>51.643382699999997</v>
      </c>
      <c r="L26" s="879">
        <v>424.00149999999996</v>
      </c>
      <c r="M26" s="879">
        <v>0</v>
      </c>
      <c r="N26" s="879">
        <v>50.4561785</v>
      </c>
      <c r="O26" s="879">
        <v>1468.1475938999997</v>
      </c>
      <c r="P26" s="879">
        <v>107.61158069999999</v>
      </c>
      <c r="Q26" s="879">
        <v>604.28693780000003</v>
      </c>
      <c r="R26" s="879">
        <v>98.029146800000007</v>
      </c>
      <c r="S26" s="879">
        <v>22.4720795</v>
      </c>
      <c r="T26" s="879">
        <v>1328.7359006999993</v>
      </c>
      <c r="U26" s="879">
        <f t="shared" si="2"/>
        <v>18410.399530899998</v>
      </c>
      <c r="V26" s="30"/>
      <c r="W26" s="30"/>
      <c r="X26" s="30"/>
    </row>
    <row r="27" spans="1:24" s="864" customFormat="1" ht="12.95" customHeight="1">
      <c r="A27" s="607" t="s">
        <v>604</v>
      </c>
      <c r="B27" s="858">
        <v>3816.4115556000006</v>
      </c>
      <c r="C27" s="858">
        <v>1526.9208444000001</v>
      </c>
      <c r="D27" s="858">
        <v>1222.0964532000003</v>
      </c>
      <c r="E27" s="858">
        <v>1308.5227344</v>
      </c>
      <c r="F27" s="858">
        <v>2491.8588239999999</v>
      </c>
      <c r="G27" s="858">
        <v>2.7988884000000001</v>
      </c>
      <c r="H27" s="858">
        <v>1269.8471856000001</v>
      </c>
      <c r="I27" s="858">
        <v>1005.3946392000001</v>
      </c>
      <c r="J27" s="858">
        <v>369.45326880000005</v>
      </c>
      <c r="K27" s="858">
        <v>48.514065600000002</v>
      </c>
      <c r="L27" s="858">
        <v>395.57622720000006</v>
      </c>
      <c r="M27" s="858">
        <v>0</v>
      </c>
      <c r="N27" s="858">
        <v>46.563325200000001</v>
      </c>
      <c r="O27" s="858">
        <v>894.20243640000012</v>
      </c>
      <c r="P27" s="858">
        <v>89.903688000000002</v>
      </c>
      <c r="Q27" s="858">
        <v>650.86877519999996</v>
      </c>
      <c r="R27" s="858">
        <v>101.0992416</v>
      </c>
      <c r="S27" s="858">
        <v>16.878145199999999</v>
      </c>
      <c r="T27" s="858">
        <v>1204.0309007999995</v>
      </c>
      <c r="U27" s="858">
        <f t="shared" si="2"/>
        <v>16460.941198800003</v>
      </c>
      <c r="V27" s="30"/>
      <c r="W27" s="30"/>
      <c r="X27" s="30"/>
    </row>
    <row r="28" spans="1:24" s="864" customFormat="1" ht="12.95" customHeight="1">
      <c r="A28" s="611" t="s">
        <v>2166</v>
      </c>
      <c r="B28" s="597">
        <f t="shared" ref="B28:U28" si="3">SUM(B29:B40)</f>
        <v>39158.175854299996</v>
      </c>
      <c r="C28" s="597">
        <f t="shared" si="3"/>
        <v>17947.8753072</v>
      </c>
      <c r="D28" s="597">
        <f t="shared" si="3"/>
        <v>17614.919640699998</v>
      </c>
      <c r="E28" s="597">
        <f t="shared" si="3"/>
        <v>14591.768105700001</v>
      </c>
      <c r="F28" s="597">
        <f t="shared" si="3"/>
        <v>29681.0637967</v>
      </c>
      <c r="G28" s="597">
        <f t="shared" si="3"/>
        <v>20.136485900000004</v>
      </c>
      <c r="H28" s="597">
        <f t="shared" si="3"/>
        <v>11619.2514574</v>
      </c>
      <c r="I28" s="597">
        <f t="shared" si="3"/>
        <v>7728.6748983999996</v>
      </c>
      <c r="J28" s="597">
        <f t="shared" si="3"/>
        <v>3321.2278345</v>
      </c>
      <c r="K28" s="597">
        <f t="shared" si="3"/>
        <v>722.60180549999995</v>
      </c>
      <c r="L28" s="597">
        <f t="shared" si="3"/>
        <v>4890.2717383000008</v>
      </c>
      <c r="M28" s="597">
        <f t="shared" si="3"/>
        <v>0.93426680000000006</v>
      </c>
      <c r="N28" s="597">
        <f t="shared" si="3"/>
        <v>598.07390220000013</v>
      </c>
      <c r="O28" s="597">
        <f t="shared" si="3"/>
        <v>8813.7038080000002</v>
      </c>
      <c r="P28" s="597">
        <f t="shared" si="3"/>
        <v>1110.0690999000001</v>
      </c>
      <c r="Q28" s="597">
        <f t="shared" si="3"/>
        <v>9111.6374758999991</v>
      </c>
      <c r="R28" s="597">
        <f t="shared" si="3"/>
        <v>1171.3974736</v>
      </c>
      <c r="S28" s="597">
        <f t="shared" si="3"/>
        <v>178.02595140000003</v>
      </c>
      <c r="T28" s="597">
        <f t="shared" si="3"/>
        <v>13300.732195100001</v>
      </c>
      <c r="U28" s="597">
        <f t="shared" si="3"/>
        <v>181580.54109750001</v>
      </c>
      <c r="V28" s="30"/>
      <c r="W28" s="30"/>
      <c r="X28" s="30"/>
    </row>
    <row r="29" spans="1:24" s="864" customFormat="1" ht="12.95" customHeight="1">
      <c r="A29" s="607" t="s">
        <v>606</v>
      </c>
      <c r="B29" s="858">
        <v>3921.1534806000004</v>
      </c>
      <c r="C29" s="858">
        <v>1349.9052966000002</v>
      </c>
      <c r="D29" s="858">
        <v>1351.6013705999999</v>
      </c>
      <c r="E29" s="858">
        <v>1262.2182708000003</v>
      </c>
      <c r="F29" s="858">
        <v>2395.1957028000002</v>
      </c>
      <c r="G29" s="858">
        <v>1.9504851000000003</v>
      </c>
      <c r="H29" s="858">
        <v>1021.6301739</v>
      </c>
      <c r="I29" s="858">
        <v>933.0103074000001</v>
      </c>
      <c r="J29" s="858">
        <v>321.15161189999998</v>
      </c>
      <c r="K29" s="858">
        <v>45.624390600000005</v>
      </c>
      <c r="L29" s="858">
        <v>392.30191619999999</v>
      </c>
      <c r="M29" s="858">
        <v>0.84803700000000004</v>
      </c>
      <c r="N29" s="858">
        <v>51.306238500000006</v>
      </c>
      <c r="O29" s="858">
        <v>939.37058490000004</v>
      </c>
      <c r="P29" s="858">
        <v>84.125270400000005</v>
      </c>
      <c r="Q29" s="858">
        <v>654.85417140000004</v>
      </c>
      <c r="R29" s="858">
        <v>60.719449200000007</v>
      </c>
      <c r="S29" s="858">
        <v>15.519077100000001</v>
      </c>
      <c r="T29" s="858">
        <v>1068.4418163000003</v>
      </c>
      <c r="U29" s="858">
        <f t="shared" si="2"/>
        <v>15870.9276513</v>
      </c>
      <c r="V29" s="30"/>
      <c r="W29" s="30"/>
      <c r="X29" s="30"/>
    </row>
    <row r="30" spans="1:24" s="864" customFormat="1" ht="12.95" customHeight="1">
      <c r="A30" s="610" t="s">
        <v>607</v>
      </c>
      <c r="B30" s="879">
        <v>3672.3180243999996</v>
      </c>
      <c r="C30" s="879">
        <v>1319.8189328000001</v>
      </c>
      <c r="D30" s="879">
        <v>1239.0292955</v>
      </c>
      <c r="E30" s="879">
        <v>1296.6269548999999</v>
      </c>
      <c r="F30" s="879">
        <v>2357.5962295999998</v>
      </c>
      <c r="G30" s="879">
        <v>2.6335213</v>
      </c>
      <c r="H30" s="879">
        <v>1071.1635506999999</v>
      </c>
      <c r="I30" s="879">
        <v>848.07881089999989</v>
      </c>
      <c r="J30" s="879">
        <v>320.270171</v>
      </c>
      <c r="K30" s="879">
        <v>58.532134699999993</v>
      </c>
      <c r="L30" s="879">
        <v>388.3169633</v>
      </c>
      <c r="M30" s="879">
        <v>0</v>
      </c>
      <c r="N30" s="879">
        <v>52.330616799999994</v>
      </c>
      <c r="O30" s="879">
        <v>817.58093519999989</v>
      </c>
      <c r="P30" s="879">
        <v>66.262794</v>
      </c>
      <c r="Q30" s="879">
        <v>772.30135929999983</v>
      </c>
      <c r="R30" s="879">
        <v>79.345448199999993</v>
      </c>
      <c r="S30" s="879">
        <v>14.866652499999997</v>
      </c>
      <c r="T30" s="879">
        <v>1000.1434279000001</v>
      </c>
      <c r="U30" s="879">
        <f t="shared" si="2"/>
        <v>15377.215823</v>
      </c>
      <c r="V30" s="30"/>
      <c r="W30" s="30"/>
      <c r="X30" s="30"/>
    </row>
    <row r="31" spans="1:24" s="864" customFormat="1" ht="12.95" customHeight="1">
      <c r="A31" s="607" t="s">
        <v>601</v>
      </c>
      <c r="B31" s="858">
        <v>3491.0879889000003</v>
      </c>
      <c r="C31" s="858">
        <v>1123.3686312</v>
      </c>
      <c r="D31" s="858">
        <v>1251.4271986000001</v>
      </c>
      <c r="E31" s="858">
        <v>1198.5668046000003</v>
      </c>
      <c r="F31" s="858">
        <v>2542.5849514000006</v>
      </c>
      <c r="G31" s="858">
        <v>2.0462088</v>
      </c>
      <c r="H31" s="858">
        <v>935.79949120000003</v>
      </c>
      <c r="I31" s="858">
        <v>696.47832029999995</v>
      </c>
      <c r="J31" s="858">
        <v>307.44287220000007</v>
      </c>
      <c r="K31" s="858">
        <v>56.952811599999997</v>
      </c>
      <c r="L31" s="858">
        <v>370.96060369999998</v>
      </c>
      <c r="M31" s="858">
        <v>0</v>
      </c>
      <c r="N31" s="858">
        <v>50.558409099999999</v>
      </c>
      <c r="O31" s="858">
        <v>714.89419950000001</v>
      </c>
      <c r="P31" s="858">
        <v>85.599734799999993</v>
      </c>
      <c r="Q31" s="858">
        <v>767.07252390000008</v>
      </c>
      <c r="R31" s="858">
        <v>76.477053900000016</v>
      </c>
      <c r="S31" s="858">
        <v>13.129839800000003</v>
      </c>
      <c r="T31" s="858">
        <v>1037.2573442000007</v>
      </c>
      <c r="U31" s="858">
        <f t="shared" si="2"/>
        <v>14721.704987700003</v>
      </c>
      <c r="V31" s="30"/>
      <c r="W31" s="30"/>
      <c r="X31" s="30"/>
    </row>
    <row r="32" spans="1:24" s="864" customFormat="1" ht="12.95" customHeight="1">
      <c r="A32" s="610" t="s">
        <v>608</v>
      </c>
      <c r="B32" s="879">
        <v>3387.4995728000004</v>
      </c>
      <c r="C32" s="879">
        <v>1049.0906734</v>
      </c>
      <c r="D32" s="879">
        <v>1227.1638414000001</v>
      </c>
      <c r="E32" s="879">
        <v>1122.8026915</v>
      </c>
      <c r="F32" s="879">
        <v>2516.3108431999999</v>
      </c>
      <c r="G32" s="879">
        <v>2.0546903999999997</v>
      </c>
      <c r="H32" s="879">
        <v>915.27896110000006</v>
      </c>
      <c r="I32" s="879">
        <v>556.56426209999995</v>
      </c>
      <c r="J32" s="879">
        <v>274.55800469999997</v>
      </c>
      <c r="K32" s="879">
        <v>45.374412999999997</v>
      </c>
      <c r="L32" s="879">
        <v>347.49951390000001</v>
      </c>
      <c r="M32" s="879">
        <v>0</v>
      </c>
      <c r="N32" s="879">
        <v>43.319722599999992</v>
      </c>
      <c r="O32" s="879">
        <v>702.10483210000007</v>
      </c>
      <c r="P32" s="879">
        <v>96.827285100000012</v>
      </c>
      <c r="Q32" s="879">
        <v>718.79919159999986</v>
      </c>
      <c r="R32" s="879">
        <v>80.132925599999993</v>
      </c>
      <c r="S32" s="879">
        <v>14.725281200000001</v>
      </c>
      <c r="T32" s="879">
        <v>999.09320700000137</v>
      </c>
      <c r="U32" s="879">
        <f t="shared" si="2"/>
        <v>14099.199912700004</v>
      </c>
      <c r="V32" s="30"/>
      <c r="W32" s="30"/>
      <c r="X32" s="30"/>
    </row>
    <row r="33" spans="1:24" s="864" customFormat="1" ht="12.95" customHeight="1">
      <c r="A33" s="607" t="s">
        <v>609</v>
      </c>
      <c r="B33" s="858">
        <v>3132.7603250000002</v>
      </c>
      <c r="C33" s="858">
        <v>1080.25035</v>
      </c>
      <c r="D33" s="858">
        <v>1189.1846</v>
      </c>
      <c r="E33" s="858">
        <v>1088.8278500000001</v>
      </c>
      <c r="F33" s="858">
        <v>2330.420975</v>
      </c>
      <c r="G33" s="858">
        <v>1.2008500000000002</v>
      </c>
      <c r="H33" s="858">
        <v>906.89907500000004</v>
      </c>
      <c r="I33" s="858">
        <v>536.43685000000005</v>
      </c>
      <c r="J33" s="858">
        <v>228.50460000000004</v>
      </c>
      <c r="K33" s="858">
        <v>45.117650000000005</v>
      </c>
      <c r="L33" s="858">
        <v>377.15267499999999</v>
      </c>
      <c r="M33" s="858">
        <v>0</v>
      </c>
      <c r="N33" s="858">
        <v>41.086224999999999</v>
      </c>
      <c r="O33" s="858">
        <v>618.09465000000012</v>
      </c>
      <c r="P33" s="858">
        <v>77.197500000000005</v>
      </c>
      <c r="Q33" s="858">
        <v>631.81864999999993</v>
      </c>
      <c r="R33" s="858">
        <v>77.111725000000007</v>
      </c>
      <c r="S33" s="858">
        <v>11.064975</v>
      </c>
      <c r="T33" s="858">
        <v>953.73222499999952</v>
      </c>
      <c r="U33" s="858">
        <f t="shared" si="2"/>
        <v>13326.861749999998</v>
      </c>
      <c r="V33" s="30"/>
      <c r="W33" s="30"/>
      <c r="X33" s="30"/>
    </row>
    <row r="34" spans="1:24" s="864" customFormat="1" ht="12.95" customHeight="1">
      <c r="A34" s="610" t="s">
        <v>602</v>
      </c>
      <c r="B34" s="879">
        <v>3174.9432000000002</v>
      </c>
      <c r="C34" s="879">
        <v>1033.8042</v>
      </c>
      <c r="D34" s="879">
        <v>1256.4551999999999</v>
      </c>
      <c r="E34" s="879">
        <v>1201.3715999999999</v>
      </c>
      <c r="F34" s="879">
        <v>2302.7861999999996</v>
      </c>
      <c r="G34" s="879">
        <v>1.4586000000000001</v>
      </c>
      <c r="H34" s="879">
        <v>993.99299999999982</v>
      </c>
      <c r="I34" s="879">
        <v>527.32680000000005</v>
      </c>
      <c r="J34" s="879">
        <v>261.34679999999997</v>
      </c>
      <c r="K34" s="879">
        <v>54.397199999999998</v>
      </c>
      <c r="L34" s="879">
        <v>400.34279999999995</v>
      </c>
      <c r="M34" s="879">
        <v>0</v>
      </c>
      <c r="N34" s="879">
        <v>54.740400000000001</v>
      </c>
      <c r="O34" s="879">
        <v>656.79899999999998</v>
      </c>
      <c r="P34" s="879">
        <v>85.370999999999995</v>
      </c>
      <c r="Q34" s="879">
        <v>777.09059999999988</v>
      </c>
      <c r="R34" s="879">
        <v>102.7884</v>
      </c>
      <c r="S34" s="879">
        <v>14.585999999999999</v>
      </c>
      <c r="T34" s="879">
        <v>1091.4617999999998</v>
      </c>
      <c r="U34" s="879">
        <f t="shared" si="2"/>
        <v>13991.0628</v>
      </c>
      <c r="V34" s="30"/>
      <c r="W34" s="30"/>
      <c r="X34" s="30"/>
    </row>
    <row r="35" spans="1:24" s="864" customFormat="1" ht="12.95" customHeight="1">
      <c r="A35" s="607" t="s">
        <v>610</v>
      </c>
      <c r="B35" s="858">
        <v>3078.4353469999996</v>
      </c>
      <c r="C35" s="858">
        <v>1193.8982820000001</v>
      </c>
      <c r="D35" s="858">
        <v>1665.0970136000001</v>
      </c>
      <c r="E35" s="858">
        <v>1128.4014864000001</v>
      </c>
      <c r="F35" s="858">
        <v>2402.3227562000002</v>
      </c>
      <c r="G35" s="858">
        <v>1.9769374000000002</v>
      </c>
      <c r="H35" s="858">
        <v>960.70562260000008</v>
      </c>
      <c r="I35" s="858">
        <v>593.94075799999996</v>
      </c>
      <c r="J35" s="858">
        <v>283.81944759999999</v>
      </c>
      <c r="K35" s="858">
        <v>63.605812</v>
      </c>
      <c r="L35" s="858">
        <v>407.67887340000004</v>
      </c>
      <c r="M35" s="858">
        <v>0</v>
      </c>
      <c r="N35" s="858">
        <v>49.509388799999996</v>
      </c>
      <c r="O35" s="858">
        <v>681.52768020000008</v>
      </c>
      <c r="P35" s="858">
        <v>93.517734400000009</v>
      </c>
      <c r="Q35" s="858">
        <v>774.18587659999992</v>
      </c>
      <c r="R35" s="858">
        <v>100.99571499999999</v>
      </c>
      <c r="S35" s="858">
        <v>15.127868800000002</v>
      </c>
      <c r="T35" s="858">
        <v>1156.3364713999999</v>
      </c>
      <c r="U35" s="858">
        <f t="shared" si="2"/>
        <v>14651.083071400004</v>
      </c>
      <c r="V35" s="30"/>
      <c r="W35" s="30"/>
      <c r="X35" s="30"/>
    </row>
    <row r="36" spans="1:24" s="864" customFormat="1" ht="12.95" customHeight="1">
      <c r="A36" s="610" t="s">
        <v>611</v>
      </c>
      <c r="B36" s="879">
        <v>2713.4719999999998</v>
      </c>
      <c r="C36" s="879">
        <v>1102.1759999999999</v>
      </c>
      <c r="D36" s="879">
        <v>1419.43</v>
      </c>
      <c r="E36" s="879">
        <v>1036.9019999999998</v>
      </c>
      <c r="F36" s="879">
        <v>2027.5360000000001</v>
      </c>
      <c r="G36" s="879">
        <v>1.4620000000000002</v>
      </c>
      <c r="H36" s="879">
        <v>841.59599999999989</v>
      </c>
      <c r="I36" s="879">
        <v>498.45600000000002</v>
      </c>
      <c r="J36" s="879">
        <v>246.73400000000001</v>
      </c>
      <c r="K36" s="879">
        <v>56.158000000000001</v>
      </c>
      <c r="L36" s="879">
        <v>420.11</v>
      </c>
      <c r="M36" s="879">
        <v>0</v>
      </c>
      <c r="N36" s="879">
        <v>44.72</v>
      </c>
      <c r="O36" s="879">
        <v>645.43000000000006</v>
      </c>
      <c r="P36" s="879">
        <v>77.056000000000012</v>
      </c>
      <c r="Q36" s="879">
        <v>579.72599999999989</v>
      </c>
      <c r="R36" s="879">
        <v>98.556000000000012</v>
      </c>
      <c r="S36" s="879">
        <v>10.061999999999999</v>
      </c>
      <c r="T36" s="879">
        <v>1032.8600000000001</v>
      </c>
      <c r="U36" s="879">
        <f t="shared" si="2"/>
        <v>12852.442000000001</v>
      </c>
      <c r="V36" s="30"/>
      <c r="W36" s="30"/>
      <c r="X36" s="30"/>
    </row>
    <row r="37" spans="1:24" s="864" customFormat="1" ht="12.95" customHeight="1">
      <c r="A37" s="607" t="s">
        <v>603</v>
      </c>
      <c r="B37" s="858">
        <v>3248.9106935999998</v>
      </c>
      <c r="C37" s="858">
        <v>1584.6959501999997</v>
      </c>
      <c r="D37" s="858">
        <v>1843.9926210999997</v>
      </c>
      <c r="E37" s="858">
        <v>1243.3847664</v>
      </c>
      <c r="F37" s="858">
        <v>2653.3803375999996</v>
      </c>
      <c r="G37" s="858">
        <v>1.2048302</v>
      </c>
      <c r="H37" s="858">
        <v>1029.4413466000001</v>
      </c>
      <c r="I37" s="858">
        <v>639.42059899999992</v>
      </c>
      <c r="J37" s="858">
        <v>256.19853609999996</v>
      </c>
      <c r="K37" s="858">
        <v>69.535914399999996</v>
      </c>
      <c r="L37" s="858">
        <v>494.66885639999992</v>
      </c>
      <c r="M37" s="858">
        <v>0</v>
      </c>
      <c r="N37" s="858">
        <v>51.549520699999995</v>
      </c>
      <c r="O37" s="858">
        <v>700.78087990000006</v>
      </c>
      <c r="P37" s="858">
        <v>117.38488519999999</v>
      </c>
      <c r="Q37" s="858">
        <v>739.07726839999987</v>
      </c>
      <c r="R37" s="858">
        <v>112.0492086</v>
      </c>
      <c r="S37" s="858">
        <v>14.716140299999998</v>
      </c>
      <c r="T37" s="858">
        <v>1204.3138442000004</v>
      </c>
      <c r="U37" s="858">
        <f t="shared" si="2"/>
        <v>16004.706198899998</v>
      </c>
      <c r="V37" s="30"/>
      <c r="W37" s="30"/>
      <c r="X37" s="30"/>
    </row>
    <row r="38" spans="1:24" s="864" customFormat="1" ht="12.95" customHeight="1">
      <c r="A38" s="610" t="s">
        <v>612</v>
      </c>
      <c r="B38" s="879">
        <v>3242.8440885999998</v>
      </c>
      <c r="C38" s="879">
        <v>2037.0927952000002</v>
      </c>
      <c r="D38" s="879">
        <v>2060.6335306000001</v>
      </c>
      <c r="E38" s="879">
        <v>1278.8741637999999</v>
      </c>
      <c r="F38" s="879">
        <v>3062.6238066000001</v>
      </c>
      <c r="G38" s="879">
        <v>1.5521363999999997</v>
      </c>
      <c r="H38" s="879">
        <v>974.05182079999997</v>
      </c>
      <c r="I38" s="879">
        <v>641.89463120000005</v>
      </c>
      <c r="J38" s="879">
        <v>298.18264839999995</v>
      </c>
      <c r="K38" s="879">
        <v>76.2271432</v>
      </c>
      <c r="L38" s="879">
        <v>425.02668419999998</v>
      </c>
      <c r="M38" s="879">
        <v>8.6229799999999995E-2</v>
      </c>
      <c r="N38" s="879">
        <v>42.0801424</v>
      </c>
      <c r="O38" s="879">
        <v>798.6604076000001</v>
      </c>
      <c r="P38" s="879">
        <v>144.17622559999998</v>
      </c>
      <c r="Q38" s="879">
        <v>848.67369159999998</v>
      </c>
      <c r="R38" s="879">
        <v>105.20035599999999</v>
      </c>
      <c r="S38" s="879">
        <v>15.435134199999998</v>
      </c>
      <c r="T38" s="879">
        <v>1285.8587775999999</v>
      </c>
      <c r="U38" s="879">
        <f t="shared" si="2"/>
        <v>17339.174413799999</v>
      </c>
      <c r="V38" s="30"/>
      <c r="W38" s="30"/>
      <c r="X38" s="30"/>
    </row>
    <row r="39" spans="1:24" s="864" customFormat="1" ht="12.95" customHeight="1">
      <c r="A39" s="607" t="s">
        <v>613</v>
      </c>
      <c r="B39" s="858">
        <v>2876.9419172999997</v>
      </c>
      <c r="C39" s="858">
        <v>2952.006222</v>
      </c>
      <c r="D39" s="858">
        <v>1451.2432242</v>
      </c>
      <c r="E39" s="858">
        <v>1281.7600554000001</v>
      </c>
      <c r="F39" s="858">
        <v>2382.0929120999999</v>
      </c>
      <c r="G39" s="858">
        <v>1.3077405</v>
      </c>
      <c r="H39" s="858">
        <v>916.55172509999989</v>
      </c>
      <c r="I39" s="858">
        <v>738.17592089999994</v>
      </c>
      <c r="J39" s="858">
        <v>256.57868610000003</v>
      </c>
      <c r="K39" s="858">
        <v>63.643371000000002</v>
      </c>
      <c r="L39" s="858">
        <v>453.43722270000001</v>
      </c>
      <c r="M39" s="858">
        <v>0</v>
      </c>
      <c r="N39" s="858">
        <v>64.689563399999997</v>
      </c>
      <c r="O39" s="858">
        <v>796.93706069999996</v>
      </c>
      <c r="P39" s="858">
        <v>80.208083999999999</v>
      </c>
      <c r="Q39" s="858">
        <v>881.7658277999999</v>
      </c>
      <c r="R39" s="858">
        <v>168.96007259999999</v>
      </c>
      <c r="S39" s="858">
        <v>22.3187712</v>
      </c>
      <c r="T39" s="858">
        <v>1048.2847847999981</v>
      </c>
      <c r="U39" s="858">
        <f t="shared" si="2"/>
        <v>16436.903161799997</v>
      </c>
      <c r="V39" s="30"/>
      <c r="W39" s="30"/>
      <c r="X39" s="30"/>
    </row>
    <row r="40" spans="1:24" s="864" customFormat="1" ht="12.95" customHeight="1">
      <c r="A40" s="610" t="s">
        <v>604</v>
      </c>
      <c r="B40" s="879">
        <v>3217.8092161</v>
      </c>
      <c r="C40" s="879">
        <v>2121.7679737999997</v>
      </c>
      <c r="D40" s="879">
        <v>1659.6617451000002</v>
      </c>
      <c r="E40" s="879">
        <v>1452.0314619000001</v>
      </c>
      <c r="F40" s="879">
        <v>2708.2130821999999</v>
      </c>
      <c r="G40" s="879">
        <v>1.2884858000000001</v>
      </c>
      <c r="H40" s="879">
        <v>1052.1406904</v>
      </c>
      <c r="I40" s="879">
        <v>518.89163859999996</v>
      </c>
      <c r="J40" s="879">
        <v>266.44045649999998</v>
      </c>
      <c r="K40" s="879">
        <v>87.432964999999996</v>
      </c>
      <c r="L40" s="879">
        <v>412.77562950000004</v>
      </c>
      <c r="M40" s="879">
        <v>0</v>
      </c>
      <c r="N40" s="879">
        <v>52.183674900000007</v>
      </c>
      <c r="O40" s="879">
        <v>741.52357789999996</v>
      </c>
      <c r="P40" s="879">
        <v>102.34258639999999</v>
      </c>
      <c r="Q40" s="879">
        <v>966.27231529999995</v>
      </c>
      <c r="R40" s="879">
        <v>109.06111949999999</v>
      </c>
      <c r="S40" s="879">
        <v>16.4742113</v>
      </c>
      <c r="T40" s="879">
        <v>1422.9484967000003</v>
      </c>
      <c r="U40" s="879">
        <f t="shared" si="2"/>
        <v>16909.259326899999</v>
      </c>
      <c r="V40" s="30"/>
      <c r="W40" s="30"/>
      <c r="X40" s="30"/>
    </row>
    <row r="41" spans="1:24" s="864" customFormat="1" ht="12.95" customHeight="1">
      <c r="A41" s="612" t="s">
        <v>2481</v>
      </c>
      <c r="B41" s="858"/>
      <c r="C41" s="858"/>
      <c r="D41" s="858"/>
      <c r="E41" s="858"/>
      <c r="F41" s="858"/>
      <c r="G41" s="858"/>
      <c r="H41" s="858"/>
      <c r="I41" s="858"/>
      <c r="J41" s="858"/>
      <c r="K41" s="858"/>
      <c r="L41" s="858"/>
      <c r="M41" s="858"/>
      <c r="N41" s="858"/>
      <c r="O41" s="858"/>
      <c r="P41" s="858"/>
      <c r="Q41" s="858"/>
      <c r="R41" s="858"/>
      <c r="S41" s="858"/>
      <c r="T41" s="858"/>
      <c r="U41" s="858"/>
      <c r="V41" s="30"/>
      <c r="W41" s="30"/>
      <c r="X41" s="30"/>
    </row>
    <row r="42" spans="1:24" s="864" customFormat="1" ht="12.95" customHeight="1">
      <c r="A42" s="610" t="s">
        <v>606</v>
      </c>
      <c r="B42" s="879">
        <v>3282.6755571999993</v>
      </c>
      <c r="C42" s="879">
        <v>2862.2482277999998</v>
      </c>
      <c r="D42" s="879">
        <v>1856.9030193999999</v>
      </c>
      <c r="E42" s="879">
        <v>1331.9791251000001</v>
      </c>
      <c r="F42" s="879">
        <v>3411.3011581999999</v>
      </c>
      <c r="G42" s="879">
        <v>1.1266475999999999</v>
      </c>
      <c r="H42" s="879">
        <v>1003.5613497000001</v>
      </c>
      <c r="I42" s="879">
        <v>734.57423519999998</v>
      </c>
      <c r="J42" s="879">
        <v>299.68826159999998</v>
      </c>
      <c r="K42" s="879">
        <v>86.939639799999995</v>
      </c>
      <c r="L42" s="879">
        <v>417.79848499999997</v>
      </c>
      <c r="M42" s="879">
        <v>9.3887299999999993E-2</v>
      </c>
      <c r="N42" s="879">
        <v>115.38749169999998</v>
      </c>
      <c r="O42" s="879">
        <v>1308.0378636</v>
      </c>
      <c r="P42" s="879">
        <v>122.71070110000001</v>
      </c>
      <c r="Q42" s="879">
        <v>1217.3427317999999</v>
      </c>
      <c r="R42" s="879">
        <v>196.78778080000001</v>
      </c>
      <c r="S42" s="879">
        <v>15.773066399999999</v>
      </c>
      <c r="T42" s="879">
        <v>1416.8532443000008</v>
      </c>
      <c r="U42" s="879">
        <f>SUM(B42:T42)</f>
        <v>19681.7824736</v>
      </c>
      <c r="V42" s="30"/>
      <c r="W42" s="30"/>
      <c r="X42" s="30"/>
    </row>
    <row r="43" spans="1:24" s="864" customFormat="1" ht="12.95" customHeight="1">
      <c r="A43" s="607" t="s">
        <v>607</v>
      </c>
      <c r="B43" s="858">
        <v>3243.0192575999999</v>
      </c>
      <c r="C43" s="858">
        <v>2893.2921216000004</v>
      </c>
      <c r="D43" s="858">
        <v>1727.6615423999999</v>
      </c>
      <c r="E43" s="858">
        <v>1361.89536</v>
      </c>
      <c r="F43" s="858">
        <v>3404.5485888000003</v>
      </c>
      <c r="G43" s="858">
        <v>1.1388672</v>
      </c>
      <c r="H43" s="858">
        <v>1247.1544896</v>
      </c>
      <c r="I43" s="858">
        <v>486.29629440000008</v>
      </c>
      <c r="J43" s="858">
        <v>315.75093120000008</v>
      </c>
      <c r="K43" s="858">
        <v>77.158252800000014</v>
      </c>
      <c r="L43" s="858">
        <v>393.85824000000002</v>
      </c>
      <c r="M43" s="858">
        <v>9.4905600000000007E-2</v>
      </c>
      <c r="N43" s="858">
        <v>125.46520320000002</v>
      </c>
      <c r="O43" s="858">
        <v>1016.0593536</v>
      </c>
      <c r="P43" s="858">
        <v>139.70104320000002</v>
      </c>
      <c r="Q43" s="858">
        <v>1204.6367808</v>
      </c>
      <c r="R43" s="858">
        <v>142.54821120000003</v>
      </c>
      <c r="S43" s="858">
        <v>13.856217599999999</v>
      </c>
      <c r="T43" s="858">
        <v>1537.4707200000012</v>
      </c>
      <c r="U43" s="858">
        <f>SUM(B43:T43)</f>
        <v>19331.6063808</v>
      </c>
      <c r="V43" s="30"/>
      <c r="W43" s="30"/>
      <c r="X43" s="30"/>
    </row>
    <row r="44" spans="1:24" s="864" customFormat="1" ht="12.95" customHeight="1">
      <c r="A44" s="610" t="s">
        <v>601</v>
      </c>
      <c r="B44" s="879">
        <v>2941.7033964000002</v>
      </c>
      <c r="C44" s="879">
        <v>1705.6831205999999</v>
      </c>
      <c r="D44" s="879">
        <v>1231.9088136</v>
      </c>
      <c r="E44" s="879">
        <v>1127.305566</v>
      </c>
      <c r="F44" s="879">
        <v>2655.2396579999995</v>
      </c>
      <c r="G44" s="879">
        <v>1.9123079999999999</v>
      </c>
      <c r="H44" s="879">
        <v>1088.1032519999999</v>
      </c>
      <c r="I44" s="879">
        <v>388.38975479999993</v>
      </c>
      <c r="J44" s="879">
        <v>237.89111519999997</v>
      </c>
      <c r="K44" s="879">
        <v>59.377163399999993</v>
      </c>
      <c r="L44" s="879">
        <v>322.51074419999998</v>
      </c>
      <c r="M44" s="879">
        <v>0</v>
      </c>
      <c r="N44" s="879">
        <v>52.301623799999994</v>
      </c>
      <c r="O44" s="879">
        <v>749.52912059999994</v>
      </c>
      <c r="P44" s="879">
        <v>92.268860999999987</v>
      </c>
      <c r="Q44" s="879">
        <v>827.64690240000004</v>
      </c>
      <c r="R44" s="879">
        <v>76.396704599999993</v>
      </c>
      <c r="S44" s="879">
        <v>11.282617199999999</v>
      </c>
      <c r="T44" s="879">
        <v>1151.4962621999973</v>
      </c>
      <c r="U44" s="879">
        <f>SUM(B44:T44)</f>
        <v>14720.946983999998</v>
      </c>
      <c r="V44" s="30"/>
      <c r="W44" s="30"/>
      <c r="X44" s="30"/>
    </row>
    <row r="45" spans="1:24" s="864" customFormat="1" ht="12.95" customHeight="1">
      <c r="A45" s="607" t="s">
        <v>2657</v>
      </c>
      <c r="B45" s="858">
        <v>2980.5850899999996</v>
      </c>
      <c r="C45" s="858">
        <v>1649.1282626</v>
      </c>
      <c r="D45" s="858">
        <v>1067.4069391999999</v>
      </c>
      <c r="E45" s="858">
        <v>1279.5743576</v>
      </c>
      <c r="F45" s="858">
        <v>2257.8052825999998</v>
      </c>
      <c r="G45" s="858">
        <v>1.5458463999999998</v>
      </c>
      <c r="H45" s="858">
        <v>1370.6826798</v>
      </c>
      <c r="I45" s="858">
        <v>480.08192259999998</v>
      </c>
      <c r="J45" s="858">
        <v>253.13234799999995</v>
      </c>
      <c r="K45" s="858">
        <v>61.640625200000002</v>
      </c>
      <c r="L45" s="858">
        <v>487.52130840000001</v>
      </c>
      <c r="M45" s="858">
        <v>9.661539999999999E-2</v>
      </c>
      <c r="N45" s="858">
        <v>45.602468799999997</v>
      </c>
      <c r="O45" s="858">
        <v>681.81487779999986</v>
      </c>
      <c r="P45" s="858">
        <v>77.968627800000007</v>
      </c>
      <c r="Q45" s="858">
        <v>842.29305719999991</v>
      </c>
      <c r="R45" s="858">
        <v>84.828321199999991</v>
      </c>
      <c r="S45" s="858">
        <v>13.332925199999996</v>
      </c>
      <c r="T45" s="858">
        <v>1104.0241757999997</v>
      </c>
      <c r="U45" s="858">
        <f>SUM(B45:T45)</f>
        <v>14739.065731600002</v>
      </c>
      <c r="V45" s="30"/>
      <c r="W45" s="30"/>
      <c r="X45" s="30"/>
    </row>
    <row r="46" spans="1:24" s="864" customFormat="1" ht="12.95" customHeight="1" thickBot="1">
      <c r="A46" s="1633" t="s">
        <v>609</v>
      </c>
      <c r="B46" s="1700">
        <v>2881.3137618000001</v>
      </c>
      <c r="C46" s="1700">
        <v>1803.5421303999999</v>
      </c>
      <c r="D46" s="1700">
        <v>1376.9628324</v>
      </c>
      <c r="E46" s="1700">
        <v>1232.6872711999999</v>
      </c>
      <c r="F46" s="1700">
        <v>2975.9030843999999</v>
      </c>
      <c r="G46" s="1700">
        <v>2.1475388</v>
      </c>
      <c r="H46" s="1700">
        <v>1183.3914941999999</v>
      </c>
      <c r="I46" s="1700">
        <v>484.17238399999997</v>
      </c>
      <c r="J46" s="1700">
        <v>290.50343039999996</v>
      </c>
      <c r="K46" s="1700">
        <v>68.33077999999999</v>
      </c>
      <c r="L46" s="1700">
        <v>310.80743359999997</v>
      </c>
      <c r="M46" s="1700">
        <v>0</v>
      </c>
      <c r="N46" s="1700">
        <v>76.725704399999998</v>
      </c>
      <c r="O46" s="1700">
        <v>676.9627989999999</v>
      </c>
      <c r="P46" s="1700">
        <v>91.368014399999993</v>
      </c>
      <c r="Q46" s="1700">
        <v>834.41643920000001</v>
      </c>
      <c r="R46" s="1700">
        <v>104.54609339999999</v>
      </c>
      <c r="S46" s="1700">
        <v>16.301771799999997</v>
      </c>
      <c r="T46" s="1700">
        <v>1156.9377207999999</v>
      </c>
      <c r="U46" s="1700">
        <f>SUM(B46:T46)</f>
        <v>15567.020684199997</v>
      </c>
      <c r="V46" s="30"/>
      <c r="W46" s="30"/>
      <c r="X46" s="30"/>
    </row>
    <row r="47" spans="1:24" s="864" customFormat="1" ht="12" customHeight="1">
      <c r="A47" s="56" t="s">
        <v>794</v>
      </c>
      <c r="B47" s="9" t="s">
        <v>1458</v>
      </c>
      <c r="C47" s="190"/>
      <c r="D47" s="190"/>
      <c r="E47" s="190"/>
      <c r="F47" s="190"/>
      <c r="G47" s="190"/>
      <c r="H47" s="190"/>
      <c r="I47" s="190"/>
      <c r="J47" s="190"/>
      <c r="K47" s="709"/>
      <c r="L47" s="651"/>
      <c r="M47" s="651"/>
      <c r="N47" s="651"/>
      <c r="O47" s="651"/>
      <c r="P47" s="651"/>
      <c r="Q47" s="651"/>
      <c r="R47" s="651"/>
      <c r="S47" s="651"/>
      <c r="T47" s="651"/>
      <c r="U47" s="651"/>
      <c r="V47" s="30"/>
      <c r="W47" s="30"/>
      <c r="X47" s="30"/>
    </row>
    <row r="48" spans="1:24" s="9" customFormat="1" ht="11.1" customHeight="1">
      <c r="B48" s="68" t="s">
        <v>2386</v>
      </c>
      <c r="C48" s="57"/>
      <c r="D48" s="7"/>
      <c r="E48" s="7"/>
      <c r="F48" s="7"/>
      <c r="G48" s="7"/>
      <c r="H48" s="57"/>
      <c r="I48" s="7"/>
      <c r="J48" s="7"/>
      <c r="L48" s="167"/>
      <c r="M48" s="781"/>
      <c r="N48" s="102"/>
      <c r="O48" s="16"/>
      <c r="P48" s="190"/>
      <c r="Q48" s="190"/>
      <c r="R48" s="192"/>
      <c r="S48" s="192"/>
      <c r="T48" s="16"/>
    </row>
    <row r="49" spans="1:25" s="9" customFormat="1"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01"/>
      <c r="N49" s="171"/>
      <c r="O49" s="171"/>
      <c r="P49" s="171"/>
      <c r="Q49" s="171"/>
      <c r="R49" s="171"/>
      <c r="S49" s="171"/>
      <c r="T49" s="171"/>
      <c r="U49" s="1012"/>
    </row>
    <row r="50" spans="1:25" s="9" customFormat="1"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012"/>
    </row>
    <row r="51" spans="1:25" s="9" customFormat="1"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012"/>
    </row>
    <row r="52" spans="1:25" s="9" customFormat="1">
      <c r="B52" s="1702"/>
      <c r="C52" s="1702"/>
      <c r="D52" s="1702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012"/>
    </row>
    <row r="53" spans="1:25" s="9" customFormat="1"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012"/>
    </row>
    <row r="54" spans="1:25" s="9" customFormat="1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012"/>
    </row>
    <row r="55" spans="1:25" s="9" customFormat="1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012"/>
    </row>
    <row r="56" spans="1:25" s="9" customFormat="1">
      <c r="U56" s="269"/>
      <c r="V56" s="171"/>
      <c r="W56" s="171"/>
    </row>
    <row r="57" spans="1:25" s="9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269"/>
      <c r="V57" s="171"/>
      <c r="W57" s="171"/>
    </row>
    <row r="58" spans="1:25" s="175" customFormat="1">
      <c r="A58" s="8"/>
      <c r="B58" s="1182"/>
      <c r="C58" s="1182"/>
      <c r="D58" s="1182"/>
      <c r="E58" s="1182"/>
      <c r="F58" s="1182"/>
      <c r="G58" s="1182"/>
      <c r="H58" s="1182"/>
      <c r="I58" s="1182"/>
      <c r="J58" s="1182"/>
      <c r="K58" s="1182"/>
      <c r="L58" s="1182"/>
      <c r="M58" s="1182"/>
      <c r="N58" s="1182"/>
      <c r="O58" s="1182"/>
      <c r="P58" s="1182"/>
      <c r="Q58" s="1182"/>
      <c r="R58" s="1182"/>
      <c r="S58" s="1182"/>
      <c r="T58" s="1182"/>
      <c r="U58" s="171"/>
      <c r="V58" s="171"/>
      <c r="W58" s="171"/>
      <c r="X58" s="171"/>
      <c r="Y58" s="171"/>
    </row>
    <row r="59" spans="1:25" s="9" customFormat="1">
      <c r="A59" s="8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</row>
    <row r="60" spans="1:25" s="9" customFormat="1">
      <c r="A60" s="8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</row>
    <row r="61" spans="1:25" s="9" customFormat="1">
      <c r="A61" s="175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</row>
    <row r="62" spans="1:25" s="9" customFormat="1">
      <c r="A62" s="175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</row>
    <row r="63" spans="1:25" s="9" customFormat="1">
      <c r="A63" s="8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</row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45" firstPageNumber="84" orientation="portrait" useFirstPageNumber="1" r:id="rId2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1"/>
  <sheetViews>
    <sheetView zoomScale="160" zoomScaleNormal="160" workbookViewId="0">
      <pane xSplit="1" ySplit="6" topLeftCell="BN43" activePane="bottomRight" state="frozen"/>
      <selection activeCell="L47" sqref="L47"/>
      <selection pane="topRight" activeCell="L47" sqref="L47"/>
      <selection pane="bottomLeft" activeCell="L47" sqref="L47"/>
      <selection pane="bottomRight" activeCell="D53" sqref="D53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109" t="s">
        <v>353</v>
      </c>
      <c r="G1" s="2109"/>
      <c r="H1" s="138" t="s">
        <v>351</v>
      </c>
      <c r="M1" s="2109" t="s">
        <v>1214</v>
      </c>
      <c r="N1" s="2109"/>
      <c r="O1" s="2109"/>
      <c r="U1" s="2109" t="s">
        <v>353</v>
      </c>
      <c r="V1" s="2109"/>
      <c r="W1" s="138" t="s">
        <v>351</v>
      </c>
      <c r="AB1" s="2109" t="s">
        <v>1214</v>
      </c>
      <c r="AC1" s="2109"/>
      <c r="AD1" s="2109"/>
      <c r="AJ1" s="2109" t="s">
        <v>353</v>
      </c>
      <c r="AK1" s="2109"/>
      <c r="AL1" s="138" t="s">
        <v>351</v>
      </c>
      <c r="AQ1" s="2109" t="s">
        <v>1214</v>
      </c>
      <c r="AR1" s="2109"/>
      <c r="AS1" s="2109"/>
      <c r="AY1" s="2109" t="s">
        <v>353</v>
      </c>
      <c r="AZ1" s="2109"/>
      <c r="BA1" s="138" t="s">
        <v>351</v>
      </c>
      <c r="BF1" s="2109" t="s">
        <v>1214</v>
      </c>
      <c r="BG1" s="2109"/>
      <c r="BH1" s="2109"/>
      <c r="BN1" s="2109" t="s">
        <v>353</v>
      </c>
      <c r="BO1" s="2109"/>
      <c r="BP1" s="138" t="s">
        <v>351</v>
      </c>
      <c r="BU1" s="2109" t="s">
        <v>1215</v>
      </c>
      <c r="BV1" s="2109"/>
      <c r="BW1" s="2109"/>
    </row>
    <row r="2" spans="1:75" s="64" customFormat="1" ht="12.75" customHeight="1">
      <c r="G2" s="1108" t="s">
        <v>350</v>
      </c>
      <c r="H2" s="11" t="s">
        <v>352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08" t="s">
        <v>350</v>
      </c>
      <c r="W2" s="11" t="s">
        <v>352</v>
      </c>
      <c r="AC2" s="2318"/>
      <c r="AD2" s="2318"/>
      <c r="AK2" s="1108" t="s">
        <v>350</v>
      </c>
      <c r="AL2" s="11" t="s">
        <v>352</v>
      </c>
      <c r="AZ2" s="1108" t="s">
        <v>350</v>
      </c>
      <c r="BA2" s="11" t="s">
        <v>352</v>
      </c>
      <c r="BO2" s="1108" t="s">
        <v>350</v>
      </c>
      <c r="BP2" s="11" t="s">
        <v>352</v>
      </c>
    </row>
    <row r="3" spans="1:75" s="86" customFormat="1" ht="11.25" customHeight="1">
      <c r="A3" s="2126" t="s">
        <v>527</v>
      </c>
      <c r="B3" s="2126" t="s">
        <v>661</v>
      </c>
      <c r="C3" s="2126"/>
      <c r="D3" s="2126" t="s">
        <v>561</v>
      </c>
      <c r="E3" s="2126"/>
      <c r="F3" s="2126" t="s">
        <v>562</v>
      </c>
      <c r="G3" s="2126"/>
      <c r="H3" s="2126" t="s">
        <v>563</v>
      </c>
      <c r="I3" s="2126"/>
      <c r="J3" s="2126" t="s">
        <v>56</v>
      </c>
      <c r="K3" s="2126"/>
      <c r="L3" s="2126" t="s">
        <v>564</v>
      </c>
      <c r="M3" s="2126"/>
      <c r="N3" s="2126" t="s">
        <v>1502</v>
      </c>
      <c r="O3" s="2126"/>
      <c r="P3" s="2126" t="s">
        <v>527</v>
      </c>
      <c r="Q3" s="1934" t="s">
        <v>58</v>
      </c>
      <c r="R3" s="1934"/>
      <c r="S3" s="2126" t="s">
        <v>565</v>
      </c>
      <c r="T3" s="2126"/>
      <c r="U3" s="2126" t="s">
        <v>566</v>
      </c>
      <c r="V3" s="2126"/>
      <c r="W3" s="2126" t="s">
        <v>252</v>
      </c>
      <c r="X3" s="2126"/>
      <c r="Y3" s="2126" t="s">
        <v>59</v>
      </c>
      <c r="Z3" s="2126"/>
      <c r="AA3" s="2126" t="s">
        <v>567</v>
      </c>
      <c r="AB3" s="2126"/>
      <c r="AC3" s="2126" t="s">
        <v>662</v>
      </c>
      <c r="AD3" s="2126"/>
      <c r="AE3" s="2126" t="s">
        <v>527</v>
      </c>
      <c r="AF3" s="2126" t="s">
        <v>253</v>
      </c>
      <c r="AG3" s="2126"/>
      <c r="AH3" s="2126" t="s">
        <v>568</v>
      </c>
      <c r="AI3" s="2126"/>
      <c r="AJ3" s="2126" t="s">
        <v>569</v>
      </c>
      <c r="AK3" s="2126"/>
      <c r="AL3" s="2126" t="s">
        <v>570</v>
      </c>
      <c r="AM3" s="2126"/>
      <c r="AN3" s="2126" t="s">
        <v>571</v>
      </c>
      <c r="AO3" s="2126"/>
      <c r="AP3" s="2126" t="s">
        <v>572</v>
      </c>
      <c r="AQ3" s="2126"/>
      <c r="AR3" s="2126" t="s">
        <v>573</v>
      </c>
      <c r="AS3" s="2126"/>
      <c r="AT3" s="2126" t="s">
        <v>527</v>
      </c>
      <c r="AU3" s="2126" t="s">
        <v>574</v>
      </c>
      <c r="AV3" s="2126"/>
      <c r="AW3" s="2126" t="s">
        <v>575</v>
      </c>
      <c r="AX3" s="2126"/>
      <c r="AY3" s="2126" t="s">
        <v>576</v>
      </c>
      <c r="AZ3" s="2126"/>
      <c r="BA3" s="2126" t="s">
        <v>254</v>
      </c>
      <c r="BB3" s="2126"/>
      <c r="BC3" s="2126" t="s">
        <v>577</v>
      </c>
      <c r="BD3" s="2126"/>
      <c r="BE3" s="2126" t="s">
        <v>578</v>
      </c>
      <c r="BF3" s="2126"/>
      <c r="BG3" s="2126" t="s">
        <v>419</v>
      </c>
      <c r="BH3" s="2126"/>
      <c r="BI3" s="2126" t="s">
        <v>527</v>
      </c>
      <c r="BJ3" s="2126" t="s">
        <v>718</v>
      </c>
      <c r="BK3" s="2126"/>
      <c r="BL3" s="2126" t="s">
        <v>663</v>
      </c>
      <c r="BM3" s="2126"/>
      <c r="BN3" s="2126" t="s">
        <v>579</v>
      </c>
      <c r="BO3" s="2126"/>
      <c r="BP3" s="2126" t="s">
        <v>1731</v>
      </c>
      <c r="BQ3" s="2126"/>
      <c r="BR3" s="2126" t="s">
        <v>580</v>
      </c>
      <c r="BS3" s="2126"/>
      <c r="BT3" s="2126" t="s">
        <v>581</v>
      </c>
      <c r="BU3" s="2126"/>
      <c r="BV3" s="2126" t="s">
        <v>1255</v>
      </c>
      <c r="BW3" s="2126"/>
    </row>
    <row r="4" spans="1:75" s="1113" customFormat="1" ht="20.25" customHeight="1">
      <c r="A4" s="2126"/>
      <c r="B4" s="1949" t="s">
        <v>1119</v>
      </c>
      <c r="C4" s="1949" t="s">
        <v>1120</v>
      </c>
      <c r="D4" s="1949" t="s">
        <v>1119</v>
      </c>
      <c r="E4" s="1949" t="s">
        <v>1120</v>
      </c>
      <c r="F4" s="1949" t="s">
        <v>1119</v>
      </c>
      <c r="G4" s="1949" t="s">
        <v>1121</v>
      </c>
      <c r="H4" s="1949" t="s">
        <v>1119</v>
      </c>
      <c r="I4" s="1949" t="s">
        <v>1120</v>
      </c>
      <c r="J4" s="1949" t="s">
        <v>1119</v>
      </c>
      <c r="K4" s="1949" t="s">
        <v>1120</v>
      </c>
      <c r="L4" s="1949" t="s">
        <v>1119</v>
      </c>
      <c r="M4" s="1949" t="s">
        <v>1120</v>
      </c>
      <c r="N4" s="1949" t="s">
        <v>1119</v>
      </c>
      <c r="O4" s="1949" t="s">
        <v>1120</v>
      </c>
      <c r="P4" s="2126"/>
      <c r="Q4" s="1949" t="s">
        <v>1119</v>
      </c>
      <c r="R4" s="1949" t="s">
        <v>1120</v>
      </c>
      <c r="S4" s="1949" t="s">
        <v>1119</v>
      </c>
      <c r="T4" s="1949" t="s">
        <v>1120</v>
      </c>
      <c r="U4" s="1949" t="s">
        <v>1119</v>
      </c>
      <c r="V4" s="1949" t="s">
        <v>1121</v>
      </c>
      <c r="W4" s="1949" t="s">
        <v>1119</v>
      </c>
      <c r="X4" s="1949" t="s">
        <v>1120</v>
      </c>
      <c r="Y4" s="1949" t="s">
        <v>1119</v>
      </c>
      <c r="Z4" s="1949" t="s">
        <v>1120</v>
      </c>
      <c r="AA4" s="1949" t="s">
        <v>1119</v>
      </c>
      <c r="AB4" s="1949" t="s">
        <v>1120</v>
      </c>
      <c r="AC4" s="1949" t="s">
        <v>1119</v>
      </c>
      <c r="AD4" s="1949" t="s">
        <v>1120</v>
      </c>
      <c r="AE4" s="2126"/>
      <c r="AF4" s="1949" t="s">
        <v>1119</v>
      </c>
      <c r="AG4" s="1949" t="s">
        <v>1120</v>
      </c>
      <c r="AH4" s="1949" t="s">
        <v>1119</v>
      </c>
      <c r="AI4" s="1949" t="s">
        <v>1120</v>
      </c>
      <c r="AJ4" s="1949" t="s">
        <v>1119</v>
      </c>
      <c r="AK4" s="1949" t="s">
        <v>1121</v>
      </c>
      <c r="AL4" s="1949" t="s">
        <v>1119</v>
      </c>
      <c r="AM4" s="1949" t="s">
        <v>1120</v>
      </c>
      <c r="AN4" s="1949" t="s">
        <v>1119</v>
      </c>
      <c r="AO4" s="1949" t="s">
        <v>1120</v>
      </c>
      <c r="AP4" s="1949" t="s">
        <v>1119</v>
      </c>
      <c r="AQ4" s="1949" t="s">
        <v>1120</v>
      </c>
      <c r="AR4" s="1949" t="s">
        <v>1119</v>
      </c>
      <c r="AS4" s="1949" t="s">
        <v>1120</v>
      </c>
      <c r="AT4" s="2126"/>
      <c r="AU4" s="1949" t="s">
        <v>1119</v>
      </c>
      <c r="AV4" s="1949" t="s">
        <v>1120</v>
      </c>
      <c r="AW4" s="1949" t="s">
        <v>1119</v>
      </c>
      <c r="AX4" s="1949" t="s">
        <v>1120</v>
      </c>
      <c r="AY4" s="1949" t="s">
        <v>1119</v>
      </c>
      <c r="AZ4" s="1949" t="s">
        <v>1121</v>
      </c>
      <c r="BA4" s="1949" t="s">
        <v>1119</v>
      </c>
      <c r="BB4" s="1949" t="s">
        <v>1120</v>
      </c>
      <c r="BC4" s="1949" t="s">
        <v>1119</v>
      </c>
      <c r="BD4" s="1949" t="s">
        <v>1120</v>
      </c>
      <c r="BE4" s="1949" t="s">
        <v>1119</v>
      </c>
      <c r="BF4" s="1949" t="s">
        <v>1120</v>
      </c>
      <c r="BG4" s="1949" t="s">
        <v>1119</v>
      </c>
      <c r="BH4" s="1949" t="s">
        <v>1120</v>
      </c>
      <c r="BI4" s="2126"/>
      <c r="BJ4" s="1949" t="s">
        <v>1119</v>
      </c>
      <c r="BK4" s="1949" t="s">
        <v>1120</v>
      </c>
      <c r="BL4" s="1949" t="s">
        <v>1119</v>
      </c>
      <c r="BM4" s="1949" t="s">
        <v>1120</v>
      </c>
      <c r="BN4" s="1949" t="s">
        <v>1119</v>
      </c>
      <c r="BO4" s="1949" t="s">
        <v>1121</v>
      </c>
      <c r="BP4" s="1949" t="s">
        <v>1119</v>
      </c>
      <c r="BQ4" s="1949" t="s">
        <v>1120</v>
      </c>
      <c r="BR4" s="1949" t="s">
        <v>1119</v>
      </c>
      <c r="BS4" s="1949" t="s">
        <v>1120</v>
      </c>
      <c r="BT4" s="1949" t="s">
        <v>1119</v>
      </c>
      <c r="BU4" s="1949" t="s">
        <v>1120</v>
      </c>
      <c r="BV4" s="1949" t="s">
        <v>1119</v>
      </c>
      <c r="BW4" s="1949" t="s">
        <v>1120</v>
      </c>
    </row>
    <row r="5" spans="1:75" s="1113" customFormat="1" ht="15.75" customHeight="1">
      <c r="A5" s="2126"/>
      <c r="B5" s="1951"/>
      <c r="C5" s="1951"/>
      <c r="D5" s="1951"/>
      <c r="E5" s="1951"/>
      <c r="F5" s="1951"/>
      <c r="G5" s="1951"/>
      <c r="H5" s="1951"/>
      <c r="I5" s="1951"/>
      <c r="J5" s="1951"/>
      <c r="K5" s="1951"/>
      <c r="L5" s="1951"/>
      <c r="M5" s="1951"/>
      <c r="N5" s="1951"/>
      <c r="O5" s="1951"/>
      <c r="P5" s="2126"/>
      <c r="Q5" s="1951"/>
      <c r="R5" s="1951"/>
      <c r="S5" s="1951"/>
      <c r="T5" s="1951"/>
      <c r="U5" s="1951"/>
      <c r="V5" s="1951"/>
      <c r="W5" s="1951"/>
      <c r="X5" s="1951"/>
      <c r="Y5" s="1951"/>
      <c r="Z5" s="1951"/>
      <c r="AA5" s="1951"/>
      <c r="AB5" s="1951"/>
      <c r="AC5" s="1951"/>
      <c r="AD5" s="1951"/>
      <c r="AE5" s="2126"/>
      <c r="AF5" s="1951"/>
      <c r="AG5" s="1951"/>
      <c r="AH5" s="1951"/>
      <c r="AI5" s="1951"/>
      <c r="AJ5" s="1951"/>
      <c r="AK5" s="1951"/>
      <c r="AL5" s="1951"/>
      <c r="AM5" s="1951"/>
      <c r="AN5" s="1951"/>
      <c r="AO5" s="1951"/>
      <c r="AP5" s="1951"/>
      <c r="AQ5" s="1951"/>
      <c r="AR5" s="1951"/>
      <c r="AS5" s="1951"/>
      <c r="AT5" s="2126"/>
      <c r="AU5" s="1951"/>
      <c r="AV5" s="1951"/>
      <c r="AW5" s="1951"/>
      <c r="AX5" s="1951"/>
      <c r="AY5" s="1951"/>
      <c r="AZ5" s="1951"/>
      <c r="BA5" s="1951"/>
      <c r="BB5" s="1951"/>
      <c r="BC5" s="1951"/>
      <c r="BD5" s="1951"/>
      <c r="BE5" s="1951"/>
      <c r="BF5" s="1951"/>
      <c r="BG5" s="1951"/>
      <c r="BH5" s="1951"/>
      <c r="BI5" s="2126"/>
      <c r="BJ5" s="1951"/>
      <c r="BK5" s="1951"/>
      <c r="BL5" s="1951"/>
      <c r="BM5" s="1951"/>
      <c r="BN5" s="1951"/>
      <c r="BO5" s="1951"/>
      <c r="BP5" s="1951"/>
      <c r="BQ5" s="1951"/>
      <c r="BR5" s="1951"/>
      <c r="BS5" s="1951"/>
      <c r="BT5" s="1951"/>
      <c r="BU5" s="1951"/>
      <c r="BV5" s="1951"/>
      <c r="BW5" s="1951"/>
    </row>
    <row r="6" spans="1:75" s="139" customFormat="1" ht="12">
      <c r="A6" s="2126"/>
      <c r="B6" s="1104">
        <v>1</v>
      </c>
      <c r="C6" s="1104">
        <v>2</v>
      </c>
      <c r="D6" s="1104">
        <v>3</v>
      </c>
      <c r="E6" s="1104">
        <v>4</v>
      </c>
      <c r="F6" s="1104">
        <v>5</v>
      </c>
      <c r="G6" s="1104">
        <v>6</v>
      </c>
      <c r="H6" s="1104">
        <v>7</v>
      </c>
      <c r="I6" s="1104">
        <v>8</v>
      </c>
      <c r="J6" s="1104">
        <v>9</v>
      </c>
      <c r="K6" s="1104">
        <v>10</v>
      </c>
      <c r="L6" s="1104">
        <v>11</v>
      </c>
      <c r="M6" s="1104">
        <v>12</v>
      </c>
      <c r="N6" s="1104">
        <v>13</v>
      </c>
      <c r="O6" s="1104">
        <v>14</v>
      </c>
      <c r="P6" s="2126"/>
      <c r="Q6" s="1104">
        <v>15</v>
      </c>
      <c r="R6" s="1104">
        <v>16</v>
      </c>
      <c r="S6" s="1104">
        <v>17</v>
      </c>
      <c r="T6" s="1104">
        <v>18</v>
      </c>
      <c r="U6" s="1104">
        <v>19</v>
      </c>
      <c r="V6" s="1104">
        <v>20</v>
      </c>
      <c r="W6" s="1104">
        <v>21</v>
      </c>
      <c r="X6" s="1104">
        <v>22</v>
      </c>
      <c r="Y6" s="1104">
        <v>23</v>
      </c>
      <c r="Z6" s="1104">
        <v>24</v>
      </c>
      <c r="AA6" s="1104">
        <v>25</v>
      </c>
      <c r="AB6" s="1104">
        <v>26</v>
      </c>
      <c r="AC6" s="1104">
        <v>27</v>
      </c>
      <c r="AD6" s="1104">
        <v>28</v>
      </c>
      <c r="AE6" s="2126"/>
      <c r="AF6" s="1104">
        <v>29</v>
      </c>
      <c r="AG6" s="1104">
        <v>30</v>
      </c>
      <c r="AH6" s="1104">
        <v>31</v>
      </c>
      <c r="AI6" s="1104">
        <v>32</v>
      </c>
      <c r="AJ6" s="1104">
        <v>33</v>
      </c>
      <c r="AK6" s="1104">
        <v>34</v>
      </c>
      <c r="AL6" s="1104">
        <v>35</v>
      </c>
      <c r="AM6" s="1104">
        <v>36</v>
      </c>
      <c r="AN6" s="1104">
        <v>37</v>
      </c>
      <c r="AO6" s="1104">
        <v>38</v>
      </c>
      <c r="AP6" s="1104">
        <v>39</v>
      </c>
      <c r="AQ6" s="1104">
        <v>40</v>
      </c>
      <c r="AR6" s="1104">
        <v>41</v>
      </c>
      <c r="AS6" s="1104">
        <v>42</v>
      </c>
      <c r="AT6" s="2126"/>
      <c r="AU6" s="1104">
        <v>43</v>
      </c>
      <c r="AV6" s="1104">
        <v>44</v>
      </c>
      <c r="AW6" s="1104">
        <v>45</v>
      </c>
      <c r="AX6" s="1104">
        <v>46</v>
      </c>
      <c r="AY6" s="1104">
        <v>47</v>
      </c>
      <c r="AZ6" s="1104">
        <v>48</v>
      </c>
      <c r="BA6" s="1104">
        <v>49</v>
      </c>
      <c r="BB6" s="1104">
        <v>50</v>
      </c>
      <c r="BC6" s="1104">
        <v>51</v>
      </c>
      <c r="BD6" s="1104">
        <v>52</v>
      </c>
      <c r="BE6" s="1104">
        <v>53</v>
      </c>
      <c r="BF6" s="1104">
        <v>54</v>
      </c>
      <c r="BG6" s="1104">
        <v>55</v>
      </c>
      <c r="BH6" s="1104">
        <v>56</v>
      </c>
      <c r="BI6" s="2126"/>
      <c r="BJ6" s="1104">
        <v>57</v>
      </c>
      <c r="BK6" s="1104">
        <v>58</v>
      </c>
      <c r="BL6" s="1104">
        <v>59</v>
      </c>
      <c r="BM6" s="1104">
        <v>60</v>
      </c>
      <c r="BN6" s="1104">
        <v>61</v>
      </c>
      <c r="BO6" s="1104">
        <v>62</v>
      </c>
      <c r="BP6" s="1104">
        <v>63</v>
      </c>
      <c r="BQ6" s="1104">
        <v>64</v>
      </c>
      <c r="BR6" s="1104">
        <v>65</v>
      </c>
      <c r="BS6" s="1104">
        <v>66</v>
      </c>
      <c r="BT6" s="1104">
        <v>67</v>
      </c>
      <c r="BU6" s="1104">
        <v>68</v>
      </c>
      <c r="BV6" s="1104">
        <v>69</v>
      </c>
      <c r="BW6" s="1104">
        <v>70</v>
      </c>
    </row>
    <row r="7" spans="1:75" ht="11.85" customHeight="1">
      <c r="A7" s="268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8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8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8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8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85" customHeight="1">
      <c r="A8" s="363" t="s">
        <v>199</v>
      </c>
      <c r="B8" s="328">
        <v>70.510000000000005</v>
      </c>
      <c r="C8" s="328">
        <v>79.22</v>
      </c>
      <c r="D8" s="328">
        <v>71.17</v>
      </c>
      <c r="E8" s="328">
        <v>74.150000000000006</v>
      </c>
      <c r="F8" s="328">
        <v>188.78</v>
      </c>
      <c r="G8" s="328">
        <v>196.65</v>
      </c>
      <c r="H8" s="328">
        <v>71.12</v>
      </c>
      <c r="I8" s="328">
        <v>76.41</v>
      </c>
      <c r="J8" s="328">
        <v>10.74</v>
      </c>
      <c r="K8" s="328">
        <v>11.46</v>
      </c>
      <c r="L8" s="328">
        <v>13.03</v>
      </c>
      <c r="M8" s="328">
        <v>14.35</v>
      </c>
      <c r="N8" s="328">
        <v>97.14</v>
      </c>
      <c r="O8" s="328">
        <v>107.02</v>
      </c>
      <c r="P8" s="363" t="s">
        <v>199</v>
      </c>
      <c r="Q8" s="328">
        <v>9.15</v>
      </c>
      <c r="R8" s="328">
        <v>9.5299999999999994</v>
      </c>
      <c r="S8" s="328">
        <v>1.57</v>
      </c>
      <c r="T8" s="328">
        <v>1.66</v>
      </c>
      <c r="U8" s="328">
        <v>0.01</v>
      </c>
      <c r="V8" s="328">
        <v>0.01</v>
      </c>
      <c r="W8" s="328">
        <v>0.01</v>
      </c>
      <c r="X8" s="328">
        <v>0.01</v>
      </c>
      <c r="Y8" s="328">
        <v>0.86</v>
      </c>
      <c r="Z8" s="328">
        <v>0.92</v>
      </c>
      <c r="AA8" s="328">
        <v>253.51</v>
      </c>
      <c r="AB8" s="328">
        <v>270.16000000000003</v>
      </c>
      <c r="AC8" s="328">
        <v>23.09</v>
      </c>
      <c r="AD8" s="328">
        <v>24.56</v>
      </c>
      <c r="AE8" s="363" t="s">
        <v>199</v>
      </c>
      <c r="AF8" s="328">
        <v>11.09</v>
      </c>
      <c r="AG8" s="328">
        <v>11.55</v>
      </c>
      <c r="AH8" s="328">
        <v>0.98</v>
      </c>
      <c r="AI8" s="328">
        <v>1.03</v>
      </c>
      <c r="AJ8" s="328">
        <v>53.99</v>
      </c>
      <c r="AK8" s="328">
        <v>61.19</v>
      </c>
      <c r="AL8" s="328">
        <v>12.28</v>
      </c>
      <c r="AM8" s="328">
        <v>13.78</v>
      </c>
      <c r="AN8" s="328">
        <v>184.85</v>
      </c>
      <c r="AO8" s="328">
        <v>192.58</v>
      </c>
      <c r="AP8" s="328">
        <v>0.83</v>
      </c>
      <c r="AQ8" s="328">
        <v>0.86</v>
      </c>
      <c r="AR8" s="328">
        <v>1.62</v>
      </c>
      <c r="AS8" s="328">
        <v>1.71</v>
      </c>
      <c r="AT8" s="363" t="s">
        <v>199</v>
      </c>
      <c r="AU8" s="328">
        <v>19.55</v>
      </c>
      <c r="AV8" s="328">
        <v>20.36</v>
      </c>
      <c r="AW8" s="328">
        <v>2.41</v>
      </c>
      <c r="AX8" s="328">
        <v>2.65</v>
      </c>
      <c r="AY8" s="328">
        <v>18.98</v>
      </c>
      <c r="AZ8" s="328">
        <v>19.77</v>
      </c>
      <c r="BA8" s="328">
        <v>0.06</v>
      </c>
      <c r="BB8" s="328">
        <v>7.0000000000000007E-2</v>
      </c>
      <c r="BC8" s="328">
        <v>55.09</v>
      </c>
      <c r="BD8" s="328">
        <v>60.14</v>
      </c>
      <c r="BE8" s="328">
        <v>10.67</v>
      </c>
      <c r="BF8" s="328">
        <v>11.75</v>
      </c>
      <c r="BG8" s="328">
        <v>0.64</v>
      </c>
      <c r="BH8" s="328">
        <v>0.68</v>
      </c>
      <c r="BI8" s="363" t="s">
        <v>199</v>
      </c>
      <c r="BJ8" s="328">
        <v>74.92</v>
      </c>
      <c r="BK8" s="328">
        <v>88.84</v>
      </c>
      <c r="BL8" s="328">
        <v>1.52</v>
      </c>
      <c r="BM8" s="328">
        <v>1.56</v>
      </c>
      <c r="BN8" s="328">
        <v>110.89</v>
      </c>
      <c r="BO8" s="328">
        <v>118.42</v>
      </c>
      <c r="BP8" s="328">
        <v>2.33</v>
      </c>
      <c r="BQ8" s="328">
        <v>2.41</v>
      </c>
      <c r="BR8" s="328">
        <v>19.38</v>
      </c>
      <c r="BS8" s="328">
        <v>20.190000000000001</v>
      </c>
      <c r="BT8" s="328">
        <v>71.17</v>
      </c>
      <c r="BU8" s="328">
        <v>74.150000000000006</v>
      </c>
      <c r="BV8" s="328">
        <v>113.26</v>
      </c>
      <c r="BW8" s="328">
        <v>119.13</v>
      </c>
    </row>
    <row r="9" spans="1:75" ht="11.85" customHeight="1">
      <c r="A9" s="268" t="s">
        <v>792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8" t="s">
        <v>792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8" t="s">
        <v>792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8" t="s">
        <v>792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8" t="s">
        <v>792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85" customHeight="1">
      <c r="A10" s="363" t="s">
        <v>908</v>
      </c>
      <c r="B10" s="328">
        <v>82.13</v>
      </c>
      <c r="C10" s="328">
        <v>71.099999999999994</v>
      </c>
      <c r="D10" s="328">
        <v>79.930000000000007</v>
      </c>
      <c r="E10" s="328">
        <v>77.77</v>
      </c>
      <c r="F10" s="328">
        <v>212.02</v>
      </c>
      <c r="G10" s="328">
        <v>206.27</v>
      </c>
      <c r="H10" s="328">
        <v>79.62</v>
      </c>
      <c r="I10" s="328">
        <v>73.900000000000006</v>
      </c>
      <c r="J10" s="328">
        <v>12.72</v>
      </c>
      <c r="K10" s="328">
        <v>12.59</v>
      </c>
      <c r="L10" s="328">
        <v>13.87</v>
      </c>
      <c r="M10" s="328">
        <v>13.57</v>
      </c>
      <c r="N10" s="328">
        <v>103.37</v>
      </c>
      <c r="O10" s="328">
        <v>101.19</v>
      </c>
      <c r="P10" s="363" t="s">
        <v>908</v>
      </c>
      <c r="Q10" s="328">
        <v>10.31</v>
      </c>
      <c r="R10" s="328">
        <v>10.029999999999999</v>
      </c>
      <c r="S10" s="328">
        <v>1.46</v>
      </c>
      <c r="T10" s="328">
        <v>1.31</v>
      </c>
      <c r="U10" s="328">
        <v>0.01</v>
      </c>
      <c r="V10" s="328">
        <v>0.01</v>
      </c>
      <c r="W10" s="328">
        <v>0.01</v>
      </c>
      <c r="X10" s="328">
        <v>0.01</v>
      </c>
      <c r="Y10" s="328">
        <v>0.92</v>
      </c>
      <c r="Z10" s="328">
        <v>0.78</v>
      </c>
      <c r="AA10" s="328">
        <v>282.77999999999997</v>
      </c>
      <c r="AB10" s="328">
        <v>272.62</v>
      </c>
      <c r="AC10" s="328">
        <v>25.93</v>
      </c>
      <c r="AD10" s="328">
        <v>24.61</v>
      </c>
      <c r="AE10" s="363" t="s">
        <v>908</v>
      </c>
      <c r="AF10" s="328">
        <v>12.45</v>
      </c>
      <c r="AG10" s="328">
        <v>12.11</v>
      </c>
      <c r="AH10" s="328">
        <v>0.91</v>
      </c>
      <c r="AI10" s="328">
        <v>0.81</v>
      </c>
      <c r="AJ10" s="328">
        <v>65.7</v>
      </c>
      <c r="AK10" s="328">
        <v>60.24</v>
      </c>
      <c r="AL10" s="328">
        <v>13.88</v>
      </c>
      <c r="AM10" s="328">
        <v>12.81</v>
      </c>
      <c r="AN10" s="328">
        <v>207.59</v>
      </c>
      <c r="AO10" s="328">
        <v>201.99</v>
      </c>
      <c r="AP10" s="328">
        <v>0.83</v>
      </c>
      <c r="AQ10" s="328">
        <v>0.78</v>
      </c>
      <c r="AR10" s="328">
        <v>1.93</v>
      </c>
      <c r="AS10" s="328">
        <v>1.8</v>
      </c>
      <c r="AT10" s="363" t="s">
        <v>908</v>
      </c>
      <c r="AU10" s="328">
        <v>21.95</v>
      </c>
      <c r="AV10" s="328">
        <v>21.36</v>
      </c>
      <c r="AW10" s="328">
        <v>2.56</v>
      </c>
      <c r="AX10" s="328">
        <v>2.36</v>
      </c>
      <c r="AY10" s="328">
        <v>21.31</v>
      </c>
      <c r="AZ10" s="328">
        <v>20.74</v>
      </c>
      <c r="BA10" s="328">
        <v>7.0000000000000007E-2</v>
      </c>
      <c r="BB10" s="328">
        <v>7.0000000000000007E-2</v>
      </c>
      <c r="BC10" s="328">
        <v>64.540000000000006</v>
      </c>
      <c r="BD10" s="328">
        <v>61.36</v>
      </c>
      <c r="BE10" s="328">
        <v>12.12</v>
      </c>
      <c r="BF10" s="328">
        <v>11.6</v>
      </c>
      <c r="BG10" s="328">
        <v>0.62</v>
      </c>
      <c r="BH10" s="328">
        <v>0.6</v>
      </c>
      <c r="BI10" s="363" t="s">
        <v>908</v>
      </c>
      <c r="BJ10" s="328">
        <v>84.91</v>
      </c>
      <c r="BK10" s="328">
        <v>82.32</v>
      </c>
      <c r="BL10" s="328">
        <v>1.1200000000000001</v>
      </c>
      <c r="BM10" s="328">
        <v>0.77</v>
      </c>
      <c r="BN10" s="328">
        <v>121.56</v>
      </c>
      <c r="BO10" s="328">
        <v>116.96</v>
      </c>
      <c r="BP10" s="328">
        <v>2.63</v>
      </c>
      <c r="BQ10" s="328">
        <v>2.5</v>
      </c>
      <c r="BR10" s="328">
        <v>21.76</v>
      </c>
      <c r="BS10" s="328">
        <v>21.17</v>
      </c>
      <c r="BT10" s="328">
        <v>79.930000000000007</v>
      </c>
      <c r="BU10" s="328">
        <v>77.77</v>
      </c>
      <c r="BV10" s="328">
        <v>125.45</v>
      </c>
      <c r="BW10" s="328">
        <v>118.24</v>
      </c>
    </row>
    <row r="11" spans="1:75" s="153" customFormat="1" ht="11.85" customHeight="1">
      <c r="A11" s="660" t="s">
        <v>1108</v>
      </c>
      <c r="B11" s="364">
        <v>71.366500000000002</v>
      </c>
      <c r="C11" s="364">
        <v>73.17</v>
      </c>
      <c r="D11" s="364">
        <v>77.721800000000002</v>
      </c>
      <c r="E11" s="364">
        <v>77.63</v>
      </c>
      <c r="F11" s="364">
        <v>206.1584</v>
      </c>
      <c r="G11" s="364">
        <v>205.92</v>
      </c>
      <c r="H11" s="364">
        <v>72.688100000000006</v>
      </c>
      <c r="I11" s="364">
        <v>72.81</v>
      </c>
      <c r="J11" s="364">
        <v>12.6509</v>
      </c>
      <c r="K11" s="364">
        <v>12.62</v>
      </c>
      <c r="L11" s="364">
        <v>14.135199999999999</v>
      </c>
      <c r="M11" s="364">
        <v>14.21</v>
      </c>
      <c r="N11" s="364">
        <v>105.4555</v>
      </c>
      <c r="O11" s="364">
        <v>105.96</v>
      </c>
      <c r="P11" s="660" t="s">
        <v>1108</v>
      </c>
      <c r="Q11" s="364">
        <v>10.021800000000001</v>
      </c>
      <c r="R11" s="364">
        <v>10.02</v>
      </c>
      <c r="S11" s="364">
        <v>1.2666999999999999</v>
      </c>
      <c r="T11" s="364">
        <v>1.29</v>
      </c>
      <c r="U11" s="364">
        <v>6.7999999999999996E-3</v>
      </c>
      <c r="V11" s="364">
        <v>0.01</v>
      </c>
      <c r="W11" s="364">
        <v>3.0999999999999999E-3</v>
      </c>
      <c r="X11" s="364">
        <v>0</v>
      </c>
      <c r="Y11" s="364">
        <v>0.76949999999999996</v>
      </c>
      <c r="Z11" s="364">
        <v>0.77</v>
      </c>
      <c r="AA11" s="364">
        <v>274.81169999999997</v>
      </c>
      <c r="AB11" s="364">
        <v>275.48</v>
      </c>
      <c r="AC11" s="364">
        <v>23.951899999999998</v>
      </c>
      <c r="AD11" s="364">
        <v>24.19</v>
      </c>
      <c r="AE11" s="660" t="s">
        <v>1108</v>
      </c>
      <c r="AF11" s="364">
        <v>12.106199999999999</v>
      </c>
      <c r="AG11" s="364">
        <v>12.09</v>
      </c>
      <c r="AH11" s="364">
        <v>0.79120000000000001</v>
      </c>
      <c r="AI11" s="364">
        <v>0.81</v>
      </c>
      <c r="AJ11" s="364">
        <v>64.542199999999994</v>
      </c>
      <c r="AK11" s="364">
        <v>68.16</v>
      </c>
      <c r="AL11" s="364">
        <v>12.898300000000001</v>
      </c>
      <c r="AM11" s="364">
        <v>12.68</v>
      </c>
      <c r="AN11" s="364">
        <v>201.87649999999999</v>
      </c>
      <c r="AO11" s="364">
        <v>201.64</v>
      </c>
      <c r="AP11" s="364">
        <v>0.75619999999999998</v>
      </c>
      <c r="AQ11" s="364">
        <v>0.79</v>
      </c>
      <c r="AR11" s="364">
        <v>1.7890999999999999</v>
      </c>
      <c r="AS11" s="364">
        <v>1.78</v>
      </c>
      <c r="AT11" s="660" t="s">
        <v>1108</v>
      </c>
      <c r="AU11" s="364">
        <v>21.345800000000001</v>
      </c>
      <c r="AV11" s="364">
        <v>21.32</v>
      </c>
      <c r="AW11" s="364">
        <v>2.3018000000000001</v>
      </c>
      <c r="AX11" s="364">
        <v>2.2999999999999998</v>
      </c>
      <c r="AY11" s="364">
        <v>20.723500000000001</v>
      </c>
      <c r="AZ11" s="364">
        <v>20.7</v>
      </c>
      <c r="BA11" s="364">
        <v>7.3099999999999998E-2</v>
      </c>
      <c r="BB11" s="364">
        <v>0.08</v>
      </c>
      <c r="BC11" s="364">
        <v>61.703600000000002</v>
      </c>
      <c r="BD11" s="364">
        <v>62.12</v>
      </c>
      <c r="BE11" s="364">
        <v>11.901199999999999</v>
      </c>
      <c r="BF11" s="364">
        <v>11.52</v>
      </c>
      <c r="BG11" s="364">
        <v>0.5927</v>
      </c>
      <c r="BH11" s="364">
        <v>0.6</v>
      </c>
      <c r="BI11" s="660" t="s">
        <v>1108</v>
      </c>
      <c r="BJ11" s="364">
        <v>85.985900000000001</v>
      </c>
      <c r="BK11" s="364">
        <v>87.15</v>
      </c>
      <c r="BL11" s="364">
        <v>0.57769999999999999</v>
      </c>
      <c r="BM11" s="364">
        <v>0.52</v>
      </c>
      <c r="BN11" s="364">
        <v>119.22799999999999</v>
      </c>
      <c r="BO11" s="364">
        <v>119.87</v>
      </c>
      <c r="BP11" s="364">
        <v>2.4632000000000001</v>
      </c>
      <c r="BQ11" s="364">
        <v>2.39</v>
      </c>
      <c r="BR11" s="364">
        <v>21.160299999999999</v>
      </c>
      <c r="BS11" s="364">
        <v>21.14</v>
      </c>
      <c r="BT11" s="364">
        <v>77.721800000000002</v>
      </c>
      <c r="BU11" s="364">
        <v>77.63</v>
      </c>
      <c r="BV11" s="364">
        <v>126.401</v>
      </c>
      <c r="BW11" s="364">
        <v>132.24</v>
      </c>
    </row>
    <row r="12" spans="1:75" s="30" customFormat="1" ht="11.85" customHeight="1">
      <c r="A12" s="545" t="s">
        <v>1167</v>
      </c>
      <c r="B12" s="417">
        <v>65.014200000000002</v>
      </c>
      <c r="C12" s="417">
        <v>59.81</v>
      </c>
      <c r="D12" s="417">
        <v>77.674599999999998</v>
      </c>
      <c r="E12" s="417">
        <v>77.81</v>
      </c>
      <c r="F12" s="417">
        <v>206.0292</v>
      </c>
      <c r="G12" s="417">
        <v>206.35</v>
      </c>
      <c r="H12" s="417">
        <v>66.458699999999993</v>
      </c>
      <c r="I12" s="417">
        <v>62.78</v>
      </c>
      <c r="J12" s="417">
        <v>12.6549</v>
      </c>
      <c r="K12" s="417">
        <v>12.73</v>
      </c>
      <c r="L12" s="417">
        <v>12.5419</v>
      </c>
      <c r="M12" s="417">
        <v>11.72</v>
      </c>
      <c r="N12" s="417">
        <v>93.459400000000002</v>
      </c>
      <c r="O12" s="417">
        <v>87.43</v>
      </c>
      <c r="P12" s="545" t="s">
        <v>1167</v>
      </c>
      <c r="Q12" s="417">
        <v>10.017799999999999</v>
      </c>
      <c r="R12" s="417">
        <v>10.039999999999999</v>
      </c>
      <c r="S12" s="417">
        <v>1.2528999999999999</v>
      </c>
      <c r="T12" s="417">
        <v>1.22</v>
      </c>
      <c r="U12" s="417">
        <v>6.1999999999999998E-3</v>
      </c>
      <c r="V12" s="417">
        <v>0.01</v>
      </c>
      <c r="W12" s="417">
        <v>2.8E-3</v>
      </c>
      <c r="X12" s="417">
        <v>0</v>
      </c>
      <c r="Y12" s="417">
        <v>0.6804</v>
      </c>
      <c r="Z12" s="417">
        <v>0.63</v>
      </c>
      <c r="AA12" s="417">
        <v>265.0548</v>
      </c>
      <c r="AB12" s="417">
        <v>257.42</v>
      </c>
      <c r="AC12" s="417">
        <v>22.543600000000001</v>
      </c>
      <c r="AD12" s="417">
        <v>20.55</v>
      </c>
      <c r="AE12" s="545" t="s">
        <v>1167</v>
      </c>
      <c r="AF12" s="417">
        <v>7.5800000000000006E-2</v>
      </c>
      <c r="AG12" s="417">
        <v>7.0000000000000007E-2</v>
      </c>
      <c r="AH12" s="417">
        <v>0.78300000000000003</v>
      </c>
      <c r="AI12" s="417">
        <v>0.76</v>
      </c>
      <c r="AJ12" s="417">
        <v>60.438099999999999</v>
      </c>
      <c r="AK12" s="417">
        <v>53.34</v>
      </c>
      <c r="AL12" s="417">
        <v>10.959300000000001</v>
      </c>
      <c r="AM12" s="417">
        <v>9.9</v>
      </c>
      <c r="AN12" s="417">
        <v>201.7544</v>
      </c>
      <c r="AO12" s="417">
        <v>202.12</v>
      </c>
      <c r="AP12" s="417">
        <v>0.76639999999999997</v>
      </c>
      <c r="AQ12" s="417">
        <v>0.76</v>
      </c>
      <c r="AR12" s="417">
        <v>1.7483</v>
      </c>
      <c r="AS12" s="417">
        <v>1.72</v>
      </c>
      <c r="AT12" s="545" t="s">
        <v>1167</v>
      </c>
      <c r="AU12" s="417">
        <v>21.332699999999999</v>
      </c>
      <c r="AV12" s="417">
        <v>21.37</v>
      </c>
      <c r="AW12" s="417">
        <v>1.6351</v>
      </c>
      <c r="AX12" s="417">
        <v>1.4</v>
      </c>
      <c r="AY12" s="417">
        <v>20.705300000000001</v>
      </c>
      <c r="AZ12" s="417">
        <v>20.74</v>
      </c>
      <c r="BA12" s="417">
        <v>7.2099999999999997E-2</v>
      </c>
      <c r="BB12" s="417">
        <v>7.0000000000000007E-2</v>
      </c>
      <c r="BC12" s="417">
        <v>59.317100000000003</v>
      </c>
      <c r="BD12" s="417">
        <v>57.8</v>
      </c>
      <c r="BE12" s="417">
        <v>10.058400000000001</v>
      </c>
      <c r="BF12" s="417">
        <v>9.44</v>
      </c>
      <c r="BG12" s="417">
        <v>0.58940000000000003</v>
      </c>
      <c r="BH12" s="417">
        <v>0.57999999999999996</v>
      </c>
      <c r="BI12" s="545" t="s">
        <v>1167</v>
      </c>
      <c r="BJ12" s="417">
        <v>82.442999999999998</v>
      </c>
      <c r="BK12" s="417">
        <v>84.03</v>
      </c>
      <c r="BL12" s="417">
        <v>0.43109999999999998</v>
      </c>
      <c r="BM12" s="417">
        <v>0.36</v>
      </c>
      <c r="BN12" s="417">
        <v>112.64660000000001</v>
      </c>
      <c r="BO12" s="417">
        <v>109.18</v>
      </c>
      <c r="BP12" s="417">
        <v>2.3778999999999999</v>
      </c>
      <c r="BQ12" s="417">
        <v>2.2999999999999998</v>
      </c>
      <c r="BR12" s="417">
        <v>21.147400000000001</v>
      </c>
      <c r="BS12" s="417">
        <v>21.18</v>
      </c>
      <c r="BT12" s="417">
        <v>77.674599999999998</v>
      </c>
      <c r="BU12" s="417">
        <v>77.81</v>
      </c>
      <c r="BV12" s="417">
        <v>122.4104</v>
      </c>
      <c r="BW12" s="417">
        <v>122.42</v>
      </c>
    </row>
    <row r="13" spans="1:75" s="281" customFormat="1" ht="11.85" customHeight="1">
      <c r="A13" s="550" t="s">
        <v>1299</v>
      </c>
      <c r="B13" s="401">
        <v>57.023499999999999</v>
      </c>
      <c r="C13" s="401">
        <v>58.42</v>
      </c>
      <c r="D13" s="401">
        <v>78.2637</v>
      </c>
      <c r="E13" s="401">
        <v>78.400000000000006</v>
      </c>
      <c r="F13" s="401">
        <v>207.56620000000001</v>
      </c>
      <c r="G13" s="401">
        <v>207.76</v>
      </c>
      <c r="H13" s="401">
        <v>59.080199999999998</v>
      </c>
      <c r="I13" s="401">
        <v>60.63</v>
      </c>
      <c r="J13" s="401">
        <v>12.1837</v>
      </c>
      <c r="K13" s="401">
        <v>11.82</v>
      </c>
      <c r="L13" s="401">
        <v>11.653600000000001</v>
      </c>
      <c r="M13" s="401">
        <v>11.73</v>
      </c>
      <c r="N13" s="401">
        <v>86.882900000000006</v>
      </c>
      <c r="O13" s="401">
        <v>87.21</v>
      </c>
      <c r="P13" s="550" t="s">
        <v>1299</v>
      </c>
      <c r="Q13" s="401">
        <v>10.0863</v>
      </c>
      <c r="R13" s="401">
        <v>10.1</v>
      </c>
      <c r="S13" s="401">
        <v>1.1812</v>
      </c>
      <c r="T13" s="401">
        <v>1.1599999999999999</v>
      </c>
      <c r="U13" s="401">
        <v>5.7999999999999996E-3</v>
      </c>
      <c r="V13" s="401">
        <v>0.01</v>
      </c>
      <c r="W13" s="401">
        <v>2.5999999999999999E-3</v>
      </c>
      <c r="X13" s="401">
        <v>0</v>
      </c>
      <c r="Y13" s="401">
        <v>0.67200000000000004</v>
      </c>
      <c r="Z13" s="401">
        <v>0.76</v>
      </c>
      <c r="AA13" s="401">
        <v>258.94290000000001</v>
      </c>
      <c r="AB13" s="401">
        <v>259.52</v>
      </c>
      <c r="AC13" s="401">
        <v>18.955200000000001</v>
      </c>
      <c r="AD13" s="401">
        <v>19.5</v>
      </c>
      <c r="AE13" s="550" t="s">
        <v>1299</v>
      </c>
      <c r="AF13" s="401">
        <v>6.3100000000000003E-2</v>
      </c>
      <c r="AG13" s="401">
        <v>7.0000000000000007E-2</v>
      </c>
      <c r="AH13" s="401">
        <v>0.73850000000000005</v>
      </c>
      <c r="AI13" s="401">
        <v>0.72</v>
      </c>
      <c r="AJ13" s="401">
        <v>52.3</v>
      </c>
      <c r="AK13" s="401">
        <v>55.76</v>
      </c>
      <c r="AL13" s="401">
        <v>9.3177000000000003</v>
      </c>
      <c r="AM13" s="401">
        <v>9.34</v>
      </c>
      <c r="AN13" s="401">
        <v>203.2773</v>
      </c>
      <c r="AO13" s="401">
        <v>203.63</v>
      </c>
      <c r="AP13" s="401">
        <v>0.75029999999999997</v>
      </c>
      <c r="AQ13" s="401">
        <v>0.75</v>
      </c>
      <c r="AR13" s="401">
        <v>1.6767000000000001</v>
      </c>
      <c r="AS13" s="401">
        <v>1.67</v>
      </c>
      <c r="AT13" s="550" t="s">
        <v>1299</v>
      </c>
      <c r="AU13" s="401">
        <v>21.494900000000001</v>
      </c>
      <c r="AV13" s="401">
        <v>21.53</v>
      </c>
      <c r="AW13" s="401">
        <v>1.1691</v>
      </c>
      <c r="AX13" s="401">
        <v>1.22</v>
      </c>
      <c r="AY13" s="401">
        <v>20.8674</v>
      </c>
      <c r="AZ13" s="401">
        <v>20.9</v>
      </c>
      <c r="BA13" s="401">
        <v>6.6699999999999995E-2</v>
      </c>
      <c r="BB13" s="401">
        <v>7.0000000000000007E-2</v>
      </c>
      <c r="BC13" s="401">
        <v>56.334699999999998</v>
      </c>
      <c r="BD13" s="401">
        <v>58.16</v>
      </c>
      <c r="BE13" s="401">
        <v>9.3073999999999995</v>
      </c>
      <c r="BF13" s="401">
        <v>9.25</v>
      </c>
      <c r="BG13" s="401">
        <v>0.55110000000000003</v>
      </c>
      <c r="BH13" s="401">
        <v>0.54</v>
      </c>
      <c r="BI13" s="550" t="s">
        <v>1299</v>
      </c>
      <c r="BJ13" s="401">
        <v>79.908100000000005</v>
      </c>
      <c r="BK13" s="401">
        <v>80.02</v>
      </c>
      <c r="BL13" s="401">
        <v>0.35630000000000001</v>
      </c>
      <c r="BM13" s="401">
        <v>0.36</v>
      </c>
      <c r="BN13" s="401">
        <v>109.4175</v>
      </c>
      <c r="BO13" s="401">
        <v>109.44</v>
      </c>
      <c r="BP13" s="401">
        <v>2.2054999999999998</v>
      </c>
      <c r="BQ13" s="401">
        <v>2.2200000000000002</v>
      </c>
      <c r="BR13" s="401">
        <v>21.308199999999999</v>
      </c>
      <c r="BS13" s="401">
        <v>21.35</v>
      </c>
      <c r="BT13" s="401">
        <v>78.2637</v>
      </c>
      <c r="BU13" s="401">
        <v>78.400000000000006</v>
      </c>
      <c r="BV13" s="401">
        <v>116.15600000000001</v>
      </c>
      <c r="BW13" s="401">
        <v>105.25</v>
      </c>
    </row>
    <row r="14" spans="1:75" s="281" customFormat="1" ht="11.85" customHeight="1">
      <c r="A14" s="545" t="s">
        <v>1332</v>
      </c>
      <c r="B14" s="417">
        <v>59.658900000000003</v>
      </c>
      <c r="C14" s="417">
        <v>61.93</v>
      </c>
      <c r="D14" s="417">
        <v>79.119200000000006</v>
      </c>
      <c r="E14" s="417">
        <v>80.599999999999994</v>
      </c>
      <c r="F14" s="417">
        <v>209.82980000000001</v>
      </c>
      <c r="G14" s="417">
        <v>213.64</v>
      </c>
      <c r="H14" s="417">
        <v>59.645600000000002</v>
      </c>
      <c r="I14" s="417">
        <v>61.98</v>
      </c>
      <c r="J14" s="417">
        <v>11.6242</v>
      </c>
      <c r="K14" s="417">
        <v>11.9</v>
      </c>
      <c r="L14" s="417">
        <v>11.596</v>
      </c>
      <c r="M14" s="417">
        <v>12.4</v>
      </c>
      <c r="N14" s="417">
        <v>86.2637</v>
      </c>
      <c r="O14" s="417">
        <v>92.21</v>
      </c>
      <c r="P14" s="545" t="s">
        <v>1332</v>
      </c>
      <c r="Q14" s="417">
        <v>10.189</v>
      </c>
      <c r="R14" s="417">
        <v>10.33</v>
      </c>
      <c r="S14" s="417">
        <v>1.1911</v>
      </c>
      <c r="T14" s="417">
        <v>1.25</v>
      </c>
      <c r="U14" s="417">
        <v>6.0000000000000001E-3</v>
      </c>
      <c r="V14" s="417">
        <v>0.01</v>
      </c>
      <c r="W14" s="417">
        <v>2.5000000000000001E-3</v>
      </c>
      <c r="X14" s="417">
        <v>0</v>
      </c>
      <c r="Y14" s="417">
        <v>0.7268</v>
      </c>
      <c r="Z14" s="417">
        <v>0.72</v>
      </c>
      <c r="AA14" s="417">
        <v>260.45460000000003</v>
      </c>
      <c r="AB14" s="417">
        <v>265.73</v>
      </c>
      <c r="AC14" s="417">
        <v>18.4786</v>
      </c>
      <c r="AD14" s="417">
        <v>18.77</v>
      </c>
      <c r="AE14" s="545" t="s">
        <v>1332</v>
      </c>
      <c r="AF14" s="417">
        <v>6.0699999999999997E-2</v>
      </c>
      <c r="AG14" s="417">
        <v>0.06</v>
      </c>
      <c r="AH14" s="417">
        <v>0.74399999999999999</v>
      </c>
      <c r="AI14" s="417">
        <v>0.78</v>
      </c>
      <c r="AJ14" s="417">
        <v>56.3782</v>
      </c>
      <c r="AK14" s="417">
        <v>58.84</v>
      </c>
      <c r="AL14" s="417">
        <v>9.4036000000000008</v>
      </c>
      <c r="AM14" s="417">
        <v>9.61</v>
      </c>
      <c r="AN14" s="417">
        <v>205.4922</v>
      </c>
      <c r="AO14" s="417">
        <v>209.23</v>
      </c>
      <c r="AP14" s="417">
        <v>0.75529999999999997</v>
      </c>
      <c r="AQ14" s="417">
        <v>0.77</v>
      </c>
      <c r="AR14" s="417">
        <v>1.6155999999999999</v>
      </c>
      <c r="AS14" s="417">
        <v>1.6</v>
      </c>
      <c r="AT14" s="545" t="s">
        <v>1332</v>
      </c>
      <c r="AU14" s="417">
        <v>21.713799999999999</v>
      </c>
      <c r="AV14" s="417">
        <v>21.58</v>
      </c>
      <c r="AW14" s="417">
        <v>1.3027</v>
      </c>
      <c r="AX14" s="417">
        <v>1.36</v>
      </c>
      <c r="AY14" s="417">
        <v>21.095400000000001</v>
      </c>
      <c r="AZ14" s="417">
        <v>21.49</v>
      </c>
      <c r="BA14" s="417">
        <v>6.9400000000000003E-2</v>
      </c>
      <c r="BB14" s="417">
        <v>7.0000000000000007E-2</v>
      </c>
      <c r="BC14" s="417">
        <v>56.838999999999999</v>
      </c>
      <c r="BD14" s="417">
        <v>58.43</v>
      </c>
      <c r="BE14" s="417">
        <v>8.9743999999999993</v>
      </c>
      <c r="BF14" s="417">
        <v>9.52</v>
      </c>
      <c r="BG14" s="417">
        <v>0.53</v>
      </c>
      <c r="BH14" s="417">
        <v>0.52</v>
      </c>
      <c r="BI14" s="545" t="s">
        <v>1332</v>
      </c>
      <c r="BJ14" s="417">
        <v>79.829700000000003</v>
      </c>
      <c r="BK14" s="417">
        <v>84.32</v>
      </c>
      <c r="BL14" s="417">
        <v>0.2079</v>
      </c>
      <c r="BM14" s="417">
        <v>0.16</v>
      </c>
      <c r="BN14" s="417">
        <v>108.5568</v>
      </c>
      <c r="BO14" s="417">
        <v>112.08</v>
      </c>
      <c r="BP14" s="417">
        <v>2.2667000000000002</v>
      </c>
      <c r="BQ14" s="417">
        <v>2.37</v>
      </c>
      <c r="BR14" s="417">
        <v>21.540900000000001</v>
      </c>
      <c r="BS14" s="417">
        <v>21.94</v>
      </c>
      <c r="BT14" s="417">
        <v>79.119200000000006</v>
      </c>
      <c r="BU14" s="417">
        <v>80.599999999999994</v>
      </c>
      <c r="BV14" s="417">
        <v>100.3793</v>
      </c>
      <c r="BW14" s="417">
        <v>104.82</v>
      </c>
    </row>
    <row r="15" spans="1:75" s="281" customFormat="1" ht="11.85" customHeight="1">
      <c r="A15" s="550" t="s">
        <v>1471</v>
      </c>
      <c r="B15" s="401">
        <v>63.658630000000002</v>
      </c>
      <c r="C15" s="401">
        <v>61.58</v>
      </c>
      <c r="D15" s="401">
        <v>82.100874000000005</v>
      </c>
      <c r="E15" s="401">
        <v>83.73</v>
      </c>
      <c r="F15" s="401">
        <v>217.64671100000001</v>
      </c>
      <c r="G15" s="401">
        <v>221.47</v>
      </c>
      <c r="H15" s="401">
        <v>64.688146000000003</v>
      </c>
      <c r="I15" s="401">
        <v>63.21</v>
      </c>
      <c r="J15" s="401">
        <v>12.660601</v>
      </c>
      <c r="K15" s="401">
        <v>12.65</v>
      </c>
      <c r="L15" s="401">
        <v>13.163303000000001</v>
      </c>
      <c r="M15" s="401">
        <v>13</v>
      </c>
      <c r="N15" s="401">
        <v>97.992005000000006</v>
      </c>
      <c r="O15" s="401">
        <v>96.86</v>
      </c>
      <c r="P15" s="550" t="s">
        <v>1471</v>
      </c>
      <c r="Q15" s="401">
        <v>10.493054000000001</v>
      </c>
      <c r="R15" s="401">
        <v>10.67</v>
      </c>
      <c r="S15" s="401">
        <v>1.2622720000000001</v>
      </c>
      <c r="T15" s="401">
        <v>1.22</v>
      </c>
      <c r="U15" s="401">
        <v>6.0390000000000001E-3</v>
      </c>
      <c r="V15" s="401">
        <v>0.01</v>
      </c>
      <c r="W15" s="401">
        <v>2.258E-3</v>
      </c>
      <c r="X15" s="401">
        <v>0</v>
      </c>
      <c r="Y15" s="401">
        <v>0.74442600000000003</v>
      </c>
      <c r="Z15" s="401">
        <v>0.76</v>
      </c>
      <c r="AA15" s="401">
        <v>272.38111300000003</v>
      </c>
      <c r="AB15" s="401">
        <v>276.82</v>
      </c>
      <c r="AC15" s="401">
        <v>20.178184999999999</v>
      </c>
      <c r="AD15" s="401">
        <v>20.74</v>
      </c>
      <c r="AE15" s="550" t="s">
        <v>1471</v>
      </c>
      <c r="AF15" s="401">
        <v>6.0657999999999997E-2</v>
      </c>
      <c r="AG15" s="401">
        <v>0.06</v>
      </c>
      <c r="AH15" s="401">
        <v>0.78928299999999996</v>
      </c>
      <c r="AI15" s="401">
        <v>0.77</v>
      </c>
      <c r="AJ15" s="401">
        <v>58.730638999999996</v>
      </c>
      <c r="AK15" s="401">
        <v>56.56</v>
      </c>
      <c r="AL15" s="401">
        <v>10.272456</v>
      </c>
      <c r="AM15" s="401">
        <v>10.220000000000001</v>
      </c>
      <c r="AN15" s="401">
        <v>213.226247</v>
      </c>
      <c r="AO15" s="401">
        <v>217.47</v>
      </c>
      <c r="AP15" s="401">
        <v>0.74837200000000004</v>
      </c>
      <c r="AQ15" s="401">
        <v>0.69</v>
      </c>
      <c r="AR15" s="401">
        <v>1.597353</v>
      </c>
      <c r="AS15" s="401">
        <v>1.57</v>
      </c>
      <c r="AT15" s="550" t="s">
        <v>1471</v>
      </c>
      <c r="AU15" s="606">
        <v>22.433156</v>
      </c>
      <c r="AV15" s="401">
        <v>23</v>
      </c>
      <c r="AW15" s="401">
        <v>1.392849</v>
      </c>
      <c r="AX15" s="401">
        <v>1.33</v>
      </c>
      <c r="AY15" s="401">
        <v>21.892281000000001</v>
      </c>
      <c r="AZ15" s="401">
        <v>22.32</v>
      </c>
      <c r="BA15" s="401">
        <v>7.4847999999999998E-2</v>
      </c>
      <c r="BB15" s="401">
        <v>0.08</v>
      </c>
      <c r="BC15" s="401">
        <v>61.194586000000001</v>
      </c>
      <c r="BD15" s="401">
        <v>61.21</v>
      </c>
      <c r="BE15" s="401">
        <v>9.896687</v>
      </c>
      <c r="BF15" s="401">
        <v>9.34</v>
      </c>
      <c r="BG15" s="401">
        <v>0.53053300000000003</v>
      </c>
      <c r="BH15" s="401">
        <v>0.53</v>
      </c>
      <c r="BI15" s="550" t="s">
        <v>1471</v>
      </c>
      <c r="BJ15" s="401">
        <v>84.626541000000003</v>
      </c>
      <c r="BK15" s="401">
        <v>83.94</v>
      </c>
      <c r="BL15" s="401">
        <v>0.159326</v>
      </c>
      <c r="BM15" s="401">
        <v>0.16</v>
      </c>
      <c r="BN15" s="401">
        <v>116.904573</v>
      </c>
      <c r="BO15" s="401">
        <v>117.62</v>
      </c>
      <c r="BP15" s="401">
        <v>2.5323829999999998</v>
      </c>
      <c r="BQ15" s="401">
        <v>2.5299999999999998</v>
      </c>
      <c r="BR15" s="401">
        <v>22.35247</v>
      </c>
      <c r="BS15" s="401">
        <v>22.79</v>
      </c>
      <c r="BT15" s="401">
        <v>82.100874000000005</v>
      </c>
      <c r="BU15" s="401">
        <v>83.73</v>
      </c>
      <c r="BV15" s="401">
        <v>110.612995</v>
      </c>
      <c r="BW15" s="401">
        <v>109.5</v>
      </c>
    </row>
    <row r="16" spans="1:75" s="281" customFormat="1" ht="11.85" customHeight="1">
      <c r="A16" s="633" t="s">
        <v>1600</v>
      </c>
      <c r="B16" s="417">
        <v>60.13044</v>
      </c>
      <c r="C16" s="417">
        <v>59.32</v>
      </c>
      <c r="D16" s="417">
        <v>84.026285999999999</v>
      </c>
      <c r="E16" s="417">
        <v>84.5</v>
      </c>
      <c r="F16" s="417">
        <v>222.77708799999999</v>
      </c>
      <c r="G16" s="417">
        <v>224.14</v>
      </c>
      <c r="H16" s="417">
        <v>63.498502999999999</v>
      </c>
      <c r="I16" s="417">
        <v>64.540000000000006</v>
      </c>
      <c r="J16" s="417">
        <v>12.329136</v>
      </c>
      <c r="K16" s="417">
        <v>12.29</v>
      </c>
      <c r="L16" s="417">
        <v>12.848271</v>
      </c>
      <c r="M16" s="417">
        <v>12.87</v>
      </c>
      <c r="N16" s="417">
        <v>95.877876000000001</v>
      </c>
      <c r="O16" s="417">
        <v>96.08</v>
      </c>
      <c r="P16" s="633" t="s">
        <v>1600</v>
      </c>
      <c r="Q16" s="417">
        <v>10.717393</v>
      </c>
      <c r="R16" s="417">
        <v>10.82</v>
      </c>
      <c r="S16" s="417">
        <v>1.1916819999999999</v>
      </c>
      <c r="T16" s="417">
        <v>1.23</v>
      </c>
      <c r="U16" s="417">
        <v>5.8180000000000003E-3</v>
      </c>
      <c r="V16" s="417">
        <v>0.01</v>
      </c>
      <c r="W16" s="417">
        <v>1.9940000000000001E-3</v>
      </c>
      <c r="X16" s="417">
        <v>0</v>
      </c>
      <c r="Y16" s="417">
        <v>0.75638300000000003</v>
      </c>
      <c r="Z16" s="417">
        <v>0.78</v>
      </c>
      <c r="AA16" s="417">
        <v>276.78387400000003</v>
      </c>
      <c r="AB16" s="417">
        <v>278.45999999999998</v>
      </c>
      <c r="AC16" s="417">
        <v>20.365683000000001</v>
      </c>
      <c r="AD16" s="417">
        <v>20.45</v>
      </c>
      <c r="AE16" s="633" t="s">
        <v>1600</v>
      </c>
      <c r="AF16" s="417">
        <v>5.4908999999999999E-2</v>
      </c>
      <c r="AG16" s="417">
        <v>0.06</v>
      </c>
      <c r="AH16" s="417">
        <v>0.738479</v>
      </c>
      <c r="AI16" s="417">
        <v>0.74</v>
      </c>
      <c r="AJ16" s="417">
        <v>56.357278000000001</v>
      </c>
      <c r="AK16" s="417">
        <v>56.78</v>
      </c>
      <c r="AL16" s="417">
        <v>9.9208660000000002</v>
      </c>
      <c r="AM16" s="417">
        <v>9.9</v>
      </c>
      <c r="AN16" s="417">
        <v>218.257195</v>
      </c>
      <c r="AO16" s="417">
        <v>219.48</v>
      </c>
      <c r="AP16" s="417">
        <v>0.61963699999999999</v>
      </c>
      <c r="AQ16" s="417">
        <v>0.52</v>
      </c>
      <c r="AR16" s="417">
        <v>1.5919129999999999</v>
      </c>
      <c r="AS16" s="417">
        <v>1.65</v>
      </c>
      <c r="AT16" s="633" t="s">
        <v>1600</v>
      </c>
      <c r="AU16" s="487">
        <v>23.075112000000001</v>
      </c>
      <c r="AV16" s="417">
        <v>23.21</v>
      </c>
      <c r="AW16" s="417">
        <v>1.2804949999999999</v>
      </c>
      <c r="AX16" s="417">
        <v>1.34</v>
      </c>
      <c r="AY16" s="417">
        <v>22.402844999999999</v>
      </c>
      <c r="AZ16" s="417">
        <v>22.53</v>
      </c>
      <c r="BA16" s="417">
        <v>7.4062000000000003E-2</v>
      </c>
      <c r="BB16" s="417">
        <v>7.0000000000000007E-2</v>
      </c>
      <c r="BC16" s="417">
        <v>61.545448</v>
      </c>
      <c r="BD16" s="417">
        <v>62.47</v>
      </c>
      <c r="BE16" s="417">
        <v>9.1900670000000009</v>
      </c>
      <c r="BF16" s="417">
        <v>9.1</v>
      </c>
      <c r="BG16" s="417">
        <v>0.48621799999999998</v>
      </c>
      <c r="BH16" s="417">
        <v>0.48</v>
      </c>
      <c r="BI16" s="610" t="s">
        <v>1600</v>
      </c>
      <c r="BJ16" s="417">
        <v>84.462277</v>
      </c>
      <c r="BK16" s="417">
        <v>86.56</v>
      </c>
      <c r="BL16" s="417">
        <v>0.16306300000000001</v>
      </c>
      <c r="BM16" s="417">
        <v>0.16</v>
      </c>
      <c r="BN16" s="417">
        <v>116.893812</v>
      </c>
      <c r="BO16" s="417">
        <v>117.48</v>
      </c>
      <c r="BP16" s="417">
        <v>2.6052249999999999</v>
      </c>
      <c r="BQ16" s="417">
        <v>2.75</v>
      </c>
      <c r="BR16" s="417">
        <v>22.875958000000001</v>
      </c>
      <c r="BS16" s="417">
        <v>23</v>
      </c>
      <c r="BT16" s="417">
        <v>84.026285999999999</v>
      </c>
      <c r="BU16" s="417">
        <v>84.5</v>
      </c>
      <c r="BV16" s="417">
        <v>108.79983300000001</v>
      </c>
      <c r="BW16" s="417">
        <v>107.27</v>
      </c>
    </row>
    <row r="17" spans="1:75" s="188" customFormat="1" ht="11.85" customHeight="1">
      <c r="A17" s="618" t="s">
        <v>1695</v>
      </c>
      <c r="B17" s="755">
        <v>56.938333333333333</v>
      </c>
      <c r="C17" s="672">
        <v>58.28</v>
      </c>
      <c r="D17" s="755">
        <v>84.781146000000007</v>
      </c>
      <c r="E17" s="672">
        <v>84.9</v>
      </c>
      <c r="F17" s="755">
        <v>224.80451299999999</v>
      </c>
      <c r="G17" s="672">
        <v>224.84</v>
      </c>
      <c r="H17" s="672">
        <v>63.281075000000001</v>
      </c>
      <c r="I17" s="672">
        <v>62.16</v>
      </c>
      <c r="J17" s="755">
        <v>12.082319</v>
      </c>
      <c r="K17" s="672">
        <v>11.99</v>
      </c>
      <c r="L17" s="755">
        <v>12.557464</v>
      </c>
      <c r="M17" s="672">
        <v>12.81</v>
      </c>
      <c r="N17" s="755">
        <v>93.728005999999993</v>
      </c>
      <c r="O17" s="672">
        <v>95.44</v>
      </c>
      <c r="P17" s="618" t="s">
        <v>1695</v>
      </c>
      <c r="Q17" s="672">
        <v>10.875048</v>
      </c>
      <c r="R17" s="672">
        <v>10.95</v>
      </c>
      <c r="S17" s="672">
        <v>1.1732959999999999</v>
      </c>
      <c r="T17" s="672">
        <v>1.1200000000000001</v>
      </c>
      <c r="U17" s="672">
        <v>5.947E-3</v>
      </c>
      <c r="V17" s="672">
        <v>0.01</v>
      </c>
      <c r="W17" s="672">
        <v>2.019E-3</v>
      </c>
      <c r="X17" s="672">
        <v>0</v>
      </c>
      <c r="Y17" s="672">
        <v>0.78395800000000004</v>
      </c>
      <c r="Z17" s="672">
        <v>0.79</v>
      </c>
      <c r="AA17" s="672">
        <v>277.50460600000002</v>
      </c>
      <c r="AB17" s="672">
        <v>275.87</v>
      </c>
      <c r="AC17" s="672">
        <v>20.179838</v>
      </c>
      <c r="AD17" s="672">
        <v>19.84</v>
      </c>
      <c r="AE17" s="618" t="s">
        <v>1695</v>
      </c>
      <c r="AF17" s="672">
        <v>5.7696999999999998E-2</v>
      </c>
      <c r="AG17" s="672">
        <v>0.06</v>
      </c>
      <c r="AH17" s="672">
        <v>0.73525200000000002</v>
      </c>
      <c r="AI17" s="672">
        <v>0.74</v>
      </c>
      <c r="AJ17" s="672">
        <v>54.053877999999997</v>
      </c>
      <c r="AK17" s="672">
        <v>54.51</v>
      </c>
      <c r="AL17" s="672">
        <v>9.1142979999999998</v>
      </c>
      <c r="AM17" s="672">
        <v>8.7799999999999994</v>
      </c>
      <c r="AN17" s="672">
        <v>220.280869</v>
      </c>
      <c r="AO17" s="672">
        <v>220.52</v>
      </c>
      <c r="AP17" s="672">
        <v>0.53694600000000003</v>
      </c>
      <c r="AQ17" s="672">
        <v>0.51</v>
      </c>
      <c r="AR17" s="672">
        <v>1.6620809999999999</v>
      </c>
      <c r="AS17" s="672">
        <v>1.71</v>
      </c>
      <c r="AT17" s="618" t="s">
        <v>1695</v>
      </c>
      <c r="AU17" s="599">
        <v>23.267150999999998</v>
      </c>
      <c r="AV17" s="672">
        <v>23.32</v>
      </c>
      <c r="AW17" s="672">
        <v>1.2791429999999999</v>
      </c>
      <c r="AX17" s="672">
        <v>1.21</v>
      </c>
      <c r="AY17" s="672">
        <v>22.595566999999999</v>
      </c>
      <c r="AZ17" s="672">
        <v>22.63</v>
      </c>
      <c r="BA17" s="672">
        <v>7.0989999999999998E-2</v>
      </c>
      <c r="BB17" s="672">
        <v>7.0000000000000007E-2</v>
      </c>
      <c r="BC17" s="672">
        <v>61.346919</v>
      </c>
      <c r="BD17" s="672">
        <v>60.92</v>
      </c>
      <c r="BE17" s="672">
        <v>8.8075340000000004</v>
      </c>
      <c r="BF17" s="672">
        <v>9.1</v>
      </c>
      <c r="BG17" s="672">
        <v>0.46550399999999997</v>
      </c>
      <c r="BH17" s="672">
        <v>0.46</v>
      </c>
      <c r="BI17" s="612" t="s">
        <v>1695</v>
      </c>
      <c r="BJ17" s="755">
        <v>86.748475999999997</v>
      </c>
      <c r="BK17" s="672">
        <v>89.24</v>
      </c>
      <c r="BL17" s="755">
        <v>0.180815</v>
      </c>
      <c r="BM17" s="672">
        <v>0.17</v>
      </c>
      <c r="BN17" s="755">
        <v>116.43907</v>
      </c>
      <c r="BO17" s="672">
        <v>117.14</v>
      </c>
      <c r="BP17" s="755">
        <v>2.7366299999999999</v>
      </c>
      <c r="BQ17" s="672">
        <v>2.75</v>
      </c>
      <c r="BR17" s="755">
        <v>23.081669999999999</v>
      </c>
      <c r="BS17" s="672">
        <v>23.11</v>
      </c>
      <c r="BT17" s="755">
        <v>84.781146000000007</v>
      </c>
      <c r="BU17" s="672">
        <v>84.9</v>
      </c>
      <c r="BV17" s="755">
        <v>106.809804</v>
      </c>
      <c r="BW17" s="672">
        <v>104.41</v>
      </c>
    </row>
    <row r="18" spans="1:75" s="188" customFormat="1" ht="11.85" customHeight="1">
      <c r="A18" s="670" t="s">
        <v>1764</v>
      </c>
      <c r="B18" s="1138">
        <v>63.341738999999997</v>
      </c>
      <c r="C18" s="1138">
        <f>C30</f>
        <v>63.71</v>
      </c>
      <c r="D18" s="1138">
        <v>84.806312000000005</v>
      </c>
      <c r="E18" s="1139">
        <f>E30</f>
        <v>84.81</v>
      </c>
      <c r="F18" s="1138">
        <v>224.924701</v>
      </c>
      <c r="G18" s="1139">
        <f>G30</f>
        <v>224.97</v>
      </c>
      <c r="H18" s="1138">
        <v>66.165549999999996</v>
      </c>
      <c r="I18" s="1138">
        <f t="shared" ref="I18" si="0">I30</f>
        <v>68.39</v>
      </c>
      <c r="J18" s="1138">
        <v>12.812291999999999</v>
      </c>
      <c r="K18" s="1138">
        <f>K30</f>
        <v>13.13</v>
      </c>
      <c r="L18" s="1138">
        <v>13.594389</v>
      </c>
      <c r="M18" s="1138">
        <f>M30</f>
        <v>13.57</v>
      </c>
      <c r="N18" s="1138">
        <v>101.153004</v>
      </c>
      <c r="O18" s="1138">
        <f>O30</f>
        <v>100.9</v>
      </c>
      <c r="P18" s="670" t="s">
        <v>1764</v>
      </c>
      <c r="Q18" s="598">
        <v>10.933994999999999</v>
      </c>
      <c r="R18" s="598">
        <f>R30</f>
        <v>10.92</v>
      </c>
      <c r="S18" s="598">
        <v>1.150649</v>
      </c>
      <c r="T18" s="598">
        <f>T30</f>
        <v>1.1399999999999999</v>
      </c>
      <c r="U18" s="598">
        <v>5.8910000000000004E-3</v>
      </c>
      <c r="V18" s="598">
        <f>V30</f>
        <v>0.01</v>
      </c>
      <c r="W18" s="598">
        <v>2.019E-3</v>
      </c>
      <c r="X18" s="598">
        <f>X30</f>
        <v>0</v>
      </c>
      <c r="Y18" s="598">
        <v>0.79669900000000005</v>
      </c>
      <c r="Z18" s="598">
        <f>Z30</f>
        <v>0.77</v>
      </c>
      <c r="AA18" s="598">
        <v>279.00494600000002</v>
      </c>
      <c r="AB18" s="598">
        <f>AB30</f>
        <v>281.68</v>
      </c>
      <c r="AC18" s="598">
        <v>20.559958000000002</v>
      </c>
      <c r="AD18" s="598">
        <f>AD30</f>
        <v>20.420000000000002</v>
      </c>
      <c r="AE18" s="670" t="s">
        <v>1764</v>
      </c>
      <c r="AF18" s="598">
        <v>6.0921000000000003E-2</v>
      </c>
      <c r="AG18" s="598">
        <f>AG30</f>
        <v>0.05</v>
      </c>
      <c r="AH18" s="598">
        <v>0.76285199999999997</v>
      </c>
      <c r="AI18" s="598">
        <f>AI30</f>
        <v>0.77</v>
      </c>
      <c r="AJ18" s="598">
        <v>58.96931</v>
      </c>
      <c r="AK18" s="598">
        <f>AK30</f>
        <v>59.29</v>
      </c>
      <c r="AL18" s="598">
        <v>9.6923999999999992</v>
      </c>
      <c r="AM18" s="598">
        <f>AM30</f>
        <v>9.9</v>
      </c>
      <c r="AN18" s="598">
        <v>220.282085</v>
      </c>
      <c r="AO18" s="598">
        <f>AO30</f>
        <v>220.29</v>
      </c>
      <c r="AP18" s="598">
        <v>0.52952200000000005</v>
      </c>
      <c r="AQ18" s="598">
        <f>AQ30</f>
        <v>0.54</v>
      </c>
      <c r="AR18" s="598">
        <v>1.751452</v>
      </c>
      <c r="AS18" s="598">
        <f>AS30</f>
        <v>1.74</v>
      </c>
      <c r="AT18" s="670" t="s">
        <v>1764</v>
      </c>
      <c r="AU18" s="671">
        <v>23.249677999999999</v>
      </c>
      <c r="AV18" s="598">
        <f>AV30</f>
        <v>22.91</v>
      </c>
      <c r="AW18" s="598">
        <v>1.13683</v>
      </c>
      <c r="AX18" s="598">
        <f>AX30</f>
        <v>1.1599999999999999</v>
      </c>
      <c r="AY18" s="598">
        <v>22.610361999999999</v>
      </c>
      <c r="AZ18" s="598">
        <f>AZ30</f>
        <v>22.61</v>
      </c>
      <c r="BA18" s="598">
        <v>7.4756000000000003E-2</v>
      </c>
      <c r="BB18" s="598">
        <f>BB30</f>
        <v>0.08</v>
      </c>
      <c r="BC18" s="598">
        <v>62.987192999999998</v>
      </c>
      <c r="BD18" s="598">
        <f>BD30</f>
        <v>63.04</v>
      </c>
      <c r="BE18" s="598">
        <v>9.8980940000000004</v>
      </c>
      <c r="BF18" s="598">
        <f>BF30</f>
        <v>9.9499999999999993</v>
      </c>
      <c r="BG18" s="598">
        <v>0.44517299999999999</v>
      </c>
      <c r="BH18" s="598">
        <f>BH30</f>
        <v>0.43</v>
      </c>
      <c r="BI18" s="670" t="s">
        <v>1764</v>
      </c>
      <c r="BJ18" s="1138">
        <v>93.197113000000002</v>
      </c>
      <c r="BK18" s="598">
        <f>BK30</f>
        <v>92.11</v>
      </c>
      <c r="BL18" s="1138">
        <v>6.0878000000000002E-2</v>
      </c>
      <c r="BM18" s="598">
        <f>BM30</f>
        <v>0.03</v>
      </c>
      <c r="BN18" s="1138">
        <v>120.843248</v>
      </c>
      <c r="BO18" s="598">
        <f>BO30</f>
        <v>121.01</v>
      </c>
      <c r="BP18" s="1138">
        <v>2.7461980000000001</v>
      </c>
      <c r="BQ18" s="598">
        <f>BQ30</f>
        <v>2.65</v>
      </c>
      <c r="BR18" s="1138">
        <v>23.088276</v>
      </c>
      <c r="BS18" s="598">
        <f>BS30</f>
        <v>23.09</v>
      </c>
      <c r="BT18" s="1138">
        <v>84.806312000000005</v>
      </c>
      <c r="BU18" s="598">
        <f>BU30</f>
        <v>84.81</v>
      </c>
      <c r="BV18" s="1138">
        <v>114.20348300000001</v>
      </c>
      <c r="BW18" s="598">
        <f>BW30</f>
        <v>117.36</v>
      </c>
    </row>
    <row r="19" spans="1:75" s="188" customFormat="1" ht="11.85" customHeight="1">
      <c r="A19" s="607" t="s">
        <v>606</v>
      </c>
      <c r="B19" s="654">
        <v>59.57</v>
      </c>
      <c r="C19" s="654">
        <v>60.95</v>
      </c>
      <c r="D19" s="654">
        <v>84.81</v>
      </c>
      <c r="E19" s="654">
        <v>84.8</v>
      </c>
      <c r="F19" s="842">
        <v>224.93</v>
      </c>
      <c r="G19" s="654">
        <v>224.93</v>
      </c>
      <c r="H19" s="654">
        <v>62.8</v>
      </c>
      <c r="I19" s="654">
        <v>63.56</v>
      </c>
      <c r="J19" s="654">
        <v>12.1</v>
      </c>
      <c r="K19" s="654">
        <v>12.13</v>
      </c>
      <c r="L19" s="654">
        <v>13.03</v>
      </c>
      <c r="M19" s="654">
        <v>13.44</v>
      </c>
      <c r="N19" s="654">
        <v>97.05</v>
      </c>
      <c r="O19" s="654">
        <v>100</v>
      </c>
      <c r="P19" s="607" t="s">
        <v>606</v>
      </c>
      <c r="Q19" s="401">
        <v>10.94</v>
      </c>
      <c r="R19" s="401">
        <v>10.94</v>
      </c>
      <c r="S19" s="401">
        <v>1.1299999999999999</v>
      </c>
      <c r="T19" s="401">
        <v>1.1299999999999999</v>
      </c>
      <c r="U19" s="401">
        <v>0.01</v>
      </c>
      <c r="V19" s="401">
        <v>0.01</v>
      </c>
      <c r="W19" s="401">
        <v>0</v>
      </c>
      <c r="X19" s="401">
        <v>0</v>
      </c>
      <c r="Y19" s="401">
        <v>0.79</v>
      </c>
      <c r="Z19" s="401">
        <v>0.81</v>
      </c>
      <c r="AA19" s="401">
        <v>275.95999999999998</v>
      </c>
      <c r="AB19" s="401">
        <v>277.31</v>
      </c>
      <c r="AC19" s="401">
        <v>19.89</v>
      </c>
      <c r="AD19" s="401">
        <v>19.989999999999998</v>
      </c>
      <c r="AE19" s="607" t="s">
        <v>606</v>
      </c>
      <c r="AF19" s="401">
        <v>0.06</v>
      </c>
      <c r="AG19" s="401">
        <v>0.06</v>
      </c>
      <c r="AH19" s="401">
        <v>0.74</v>
      </c>
      <c r="AI19" s="401">
        <v>0.75</v>
      </c>
      <c r="AJ19" s="401">
        <v>55.84</v>
      </c>
      <c r="AK19" s="401">
        <v>56.55</v>
      </c>
      <c r="AL19" s="401">
        <v>9.1199999999999992</v>
      </c>
      <c r="AM19" s="401">
        <v>9.39</v>
      </c>
      <c r="AN19" s="401">
        <v>220.3</v>
      </c>
      <c r="AO19" s="401">
        <v>220.26</v>
      </c>
      <c r="AP19" s="401">
        <v>0.51</v>
      </c>
      <c r="AQ19" s="401">
        <v>0.51</v>
      </c>
      <c r="AR19" s="401">
        <v>1.71</v>
      </c>
      <c r="AS19" s="401">
        <v>1.7</v>
      </c>
      <c r="AT19" s="607" t="s">
        <v>606</v>
      </c>
      <c r="AU19" s="606">
        <v>23.28</v>
      </c>
      <c r="AV19" s="401">
        <v>23.29</v>
      </c>
      <c r="AW19" s="401">
        <v>1.19</v>
      </c>
      <c r="AX19" s="401">
        <v>1.17</v>
      </c>
      <c r="AY19" s="401">
        <v>22.61</v>
      </c>
      <c r="AZ19" s="401">
        <v>22.61</v>
      </c>
      <c r="BA19" s="401">
        <v>7.0000000000000007E-2</v>
      </c>
      <c r="BB19" s="401">
        <v>7.0000000000000007E-2</v>
      </c>
      <c r="BC19" s="401">
        <v>61.1</v>
      </c>
      <c r="BD19" s="401">
        <v>61.74</v>
      </c>
      <c r="BE19" s="401">
        <v>9.3699999999999992</v>
      </c>
      <c r="BF19" s="401">
        <v>9.7200000000000006</v>
      </c>
      <c r="BG19" s="401">
        <v>0.46</v>
      </c>
      <c r="BH19" s="401">
        <v>0.46</v>
      </c>
      <c r="BI19" s="607" t="s">
        <v>606</v>
      </c>
      <c r="BJ19" s="654">
        <v>90.68</v>
      </c>
      <c r="BK19" s="842">
        <v>92.92</v>
      </c>
      <c r="BL19" s="842">
        <v>7.0000000000000007E-2</v>
      </c>
      <c r="BM19" s="842">
        <v>7.0000000000000007E-2</v>
      </c>
      <c r="BN19" s="654">
        <v>117.8</v>
      </c>
      <c r="BO19" s="654">
        <v>119.3</v>
      </c>
      <c r="BP19" s="654">
        <v>2.7</v>
      </c>
      <c r="BQ19" s="654">
        <v>2.7</v>
      </c>
      <c r="BR19" s="654">
        <v>23.09</v>
      </c>
      <c r="BS19" s="654">
        <v>23.09</v>
      </c>
      <c r="BT19" s="654">
        <v>84.81</v>
      </c>
      <c r="BU19" s="654">
        <v>84.8</v>
      </c>
      <c r="BV19" s="654">
        <v>107.26</v>
      </c>
      <c r="BW19" s="654">
        <v>110.21</v>
      </c>
    </row>
    <row r="20" spans="1:75" s="188" customFormat="1" ht="11.85" customHeight="1">
      <c r="A20" s="610" t="s">
        <v>607</v>
      </c>
      <c r="B20" s="653">
        <v>61</v>
      </c>
      <c r="C20" s="653">
        <v>62.49</v>
      </c>
      <c r="D20" s="653">
        <v>84.84</v>
      </c>
      <c r="E20" s="653">
        <v>84.83</v>
      </c>
      <c r="F20" s="814">
        <v>225.03</v>
      </c>
      <c r="G20" s="653">
        <v>225</v>
      </c>
      <c r="H20" s="653">
        <v>64.02</v>
      </c>
      <c r="I20" s="653">
        <v>64.760000000000005</v>
      </c>
      <c r="J20" s="653">
        <v>12.23</v>
      </c>
      <c r="K20" s="653">
        <v>12.36</v>
      </c>
      <c r="L20" s="653">
        <v>13.47</v>
      </c>
      <c r="M20" s="653">
        <v>13.57</v>
      </c>
      <c r="N20" s="653">
        <v>100.29</v>
      </c>
      <c r="O20" s="653">
        <v>100.98</v>
      </c>
      <c r="P20" s="610" t="s">
        <v>607</v>
      </c>
      <c r="Q20" s="417">
        <v>10.95</v>
      </c>
      <c r="R20" s="417">
        <v>10.94</v>
      </c>
      <c r="S20" s="417">
        <v>1.1399999999999999</v>
      </c>
      <c r="T20" s="417">
        <v>1.1599999999999999</v>
      </c>
      <c r="U20" s="417">
        <v>0.01</v>
      </c>
      <c r="V20" s="417">
        <v>0.01</v>
      </c>
      <c r="W20" s="417">
        <v>0</v>
      </c>
      <c r="X20" s="417">
        <v>0</v>
      </c>
      <c r="Y20" s="417">
        <v>0.8</v>
      </c>
      <c r="Z20" s="417">
        <v>0.81</v>
      </c>
      <c r="AA20" s="417">
        <v>277.45999999999998</v>
      </c>
      <c r="AB20" s="417">
        <v>277.66000000000003</v>
      </c>
      <c r="AC20" s="417">
        <v>20.260000000000002</v>
      </c>
      <c r="AD20" s="417">
        <v>20.36</v>
      </c>
      <c r="AE20" s="610" t="s">
        <v>607</v>
      </c>
      <c r="AF20" s="417">
        <v>0.06</v>
      </c>
      <c r="AG20" s="417">
        <v>0.06</v>
      </c>
      <c r="AH20" s="417">
        <v>0.76</v>
      </c>
      <c r="AI20" s="417">
        <v>0.76</v>
      </c>
      <c r="AJ20" s="417">
        <v>55.99</v>
      </c>
      <c r="AK20" s="417">
        <v>57.2</v>
      </c>
      <c r="AL20" s="417">
        <v>9.4700000000000006</v>
      </c>
      <c r="AM20" s="417">
        <v>9.64</v>
      </c>
      <c r="AN20" s="417">
        <v>220.4</v>
      </c>
      <c r="AO20" s="417">
        <v>220.32</v>
      </c>
      <c r="AP20" s="417">
        <v>0.5</v>
      </c>
      <c r="AQ20" s="417">
        <v>0.51</v>
      </c>
      <c r="AR20" s="417">
        <v>1.74</v>
      </c>
      <c r="AS20" s="417">
        <v>1.75</v>
      </c>
      <c r="AT20" s="610" t="s">
        <v>607</v>
      </c>
      <c r="AU20" s="487">
        <v>23.28</v>
      </c>
      <c r="AV20" s="417">
        <v>23.29</v>
      </c>
      <c r="AW20" s="417">
        <v>1.1499999999999999</v>
      </c>
      <c r="AX20" s="417">
        <v>1.1399999999999999</v>
      </c>
      <c r="AY20" s="417">
        <v>22.62</v>
      </c>
      <c r="AZ20" s="417">
        <v>22.62</v>
      </c>
      <c r="BA20" s="417">
        <v>7.0000000000000007E-2</v>
      </c>
      <c r="BB20" s="417">
        <v>7.0000000000000007E-2</v>
      </c>
      <c r="BC20" s="417">
        <v>61.93</v>
      </c>
      <c r="BD20" s="417">
        <v>62.46</v>
      </c>
      <c r="BE20" s="417">
        <v>9.74</v>
      </c>
      <c r="BF20" s="417">
        <v>9.84</v>
      </c>
      <c r="BG20" s="417">
        <v>0.46</v>
      </c>
      <c r="BH20" s="417">
        <v>0.46</v>
      </c>
      <c r="BI20" s="610" t="s">
        <v>607</v>
      </c>
      <c r="BJ20" s="653">
        <v>93.16</v>
      </c>
      <c r="BK20" s="814">
        <v>93.83</v>
      </c>
      <c r="BL20" s="814">
        <v>7.0000000000000007E-2</v>
      </c>
      <c r="BM20" s="814">
        <v>7.0000000000000007E-2</v>
      </c>
      <c r="BN20" s="653">
        <v>119.78</v>
      </c>
      <c r="BO20" s="653">
        <v>120.32</v>
      </c>
      <c r="BP20" s="653">
        <v>2.72</v>
      </c>
      <c r="BQ20" s="653">
        <v>2.73</v>
      </c>
      <c r="BR20" s="653">
        <v>23.1</v>
      </c>
      <c r="BS20" s="653">
        <v>23.09</v>
      </c>
      <c r="BT20" s="653">
        <v>84.84</v>
      </c>
      <c r="BU20" s="653">
        <v>84.83</v>
      </c>
      <c r="BV20" s="653">
        <v>111.29</v>
      </c>
      <c r="BW20" s="653">
        <v>113.26</v>
      </c>
    </row>
    <row r="21" spans="1:75" s="188" customFormat="1" ht="11.85" customHeight="1">
      <c r="A21" s="607" t="s">
        <v>601</v>
      </c>
      <c r="B21" s="654">
        <v>61.38</v>
      </c>
      <c r="C21" s="654">
        <v>60.47</v>
      </c>
      <c r="D21" s="654">
        <v>84.8</v>
      </c>
      <c r="E21" s="654">
        <v>84.84</v>
      </c>
      <c r="F21" s="654">
        <v>224.9</v>
      </c>
      <c r="G21" s="654">
        <v>224.95</v>
      </c>
      <c r="H21" s="654">
        <v>64.22</v>
      </c>
      <c r="I21" s="654">
        <v>63.37</v>
      </c>
      <c r="J21" s="654">
        <v>12.45</v>
      </c>
      <c r="K21" s="654">
        <v>12.46</v>
      </c>
      <c r="L21" s="654">
        <v>13.44</v>
      </c>
      <c r="M21" s="654">
        <v>13.38</v>
      </c>
      <c r="N21" s="654">
        <v>100.01</v>
      </c>
      <c r="O21" s="654">
        <v>99.64</v>
      </c>
      <c r="P21" s="607" t="s">
        <v>601</v>
      </c>
      <c r="Q21" s="401">
        <v>10.94</v>
      </c>
      <c r="R21" s="401">
        <v>10.95</v>
      </c>
      <c r="S21" s="401">
        <v>1.1499999999999999</v>
      </c>
      <c r="T21" s="401">
        <v>1.1499999999999999</v>
      </c>
      <c r="U21" s="401">
        <v>0.01</v>
      </c>
      <c r="V21" s="401">
        <v>0.01</v>
      </c>
      <c r="W21" s="401">
        <v>0</v>
      </c>
      <c r="X21" s="401">
        <v>0</v>
      </c>
      <c r="Y21" s="401">
        <v>0.8</v>
      </c>
      <c r="Z21" s="401">
        <v>0.8</v>
      </c>
      <c r="AA21" s="401">
        <v>277.23</v>
      </c>
      <c r="AB21" s="401">
        <v>276.94</v>
      </c>
      <c r="AC21" s="401">
        <v>20.43</v>
      </c>
      <c r="AD21" s="401">
        <v>20.399999999999999</v>
      </c>
      <c r="AE21" s="607" t="s">
        <v>601</v>
      </c>
      <c r="AF21" s="401">
        <v>0.06</v>
      </c>
      <c r="AG21" s="401">
        <v>0.06</v>
      </c>
      <c r="AH21" s="401">
        <v>0.76</v>
      </c>
      <c r="AI21" s="401">
        <v>0.75</v>
      </c>
      <c r="AJ21" s="401">
        <v>56.6</v>
      </c>
      <c r="AK21" s="401">
        <v>55.89</v>
      </c>
      <c r="AL21" s="401">
        <v>9.31</v>
      </c>
      <c r="AM21" s="401">
        <v>9.01</v>
      </c>
      <c r="AN21" s="401">
        <v>220.27</v>
      </c>
      <c r="AO21" s="401">
        <v>220.36</v>
      </c>
      <c r="AP21" s="401">
        <v>0.51</v>
      </c>
      <c r="AQ21" s="401">
        <v>0.51</v>
      </c>
      <c r="AR21" s="401">
        <v>1.75</v>
      </c>
      <c r="AS21" s="401">
        <v>1.75</v>
      </c>
      <c r="AT21" s="607" t="s">
        <v>601</v>
      </c>
      <c r="AU21" s="606">
        <v>23.28</v>
      </c>
      <c r="AV21" s="401">
        <v>23.3</v>
      </c>
      <c r="AW21" s="401">
        <v>1.1200000000000001</v>
      </c>
      <c r="AX21" s="401">
        <v>1.08</v>
      </c>
      <c r="AY21" s="401">
        <v>22.61</v>
      </c>
      <c r="AZ21" s="401">
        <v>22.62</v>
      </c>
      <c r="BA21" s="401">
        <v>7.0000000000000007E-2</v>
      </c>
      <c r="BB21" s="401">
        <v>7.0000000000000007E-2</v>
      </c>
      <c r="BC21" s="401">
        <v>62.08</v>
      </c>
      <c r="BD21" s="401">
        <v>61.98</v>
      </c>
      <c r="BE21" s="401">
        <v>9.6</v>
      </c>
      <c r="BF21" s="401">
        <v>9.4499999999999993</v>
      </c>
      <c r="BG21" s="401">
        <v>0.46</v>
      </c>
      <c r="BH21" s="401">
        <v>0.46</v>
      </c>
      <c r="BI21" s="607" t="s">
        <v>601</v>
      </c>
      <c r="BJ21" s="654">
        <v>92.73</v>
      </c>
      <c r="BK21" s="842">
        <v>92.28</v>
      </c>
      <c r="BL21" s="842">
        <v>7.0000000000000007E-2</v>
      </c>
      <c r="BM21" s="842">
        <v>7.0000000000000007E-2</v>
      </c>
      <c r="BN21" s="654">
        <v>119.8</v>
      </c>
      <c r="BO21" s="654">
        <v>119.39</v>
      </c>
      <c r="BP21" s="654">
        <v>2.7</v>
      </c>
      <c r="BQ21" s="654">
        <v>2.68</v>
      </c>
      <c r="BR21" s="654">
        <v>23.09</v>
      </c>
      <c r="BS21" s="654">
        <v>23.1</v>
      </c>
      <c r="BT21" s="654">
        <v>84.8</v>
      </c>
      <c r="BU21" s="654">
        <v>84.84</v>
      </c>
      <c r="BV21" s="654">
        <v>110.07</v>
      </c>
      <c r="BW21" s="654">
        <v>109.13</v>
      </c>
    </row>
    <row r="22" spans="1:75" s="188" customFormat="1" ht="11.85" customHeight="1">
      <c r="A22" s="610" t="s">
        <v>608</v>
      </c>
      <c r="B22" s="653">
        <v>60.51</v>
      </c>
      <c r="C22" s="653">
        <v>59.74</v>
      </c>
      <c r="D22" s="653">
        <v>84.8</v>
      </c>
      <c r="E22" s="653">
        <v>84.8</v>
      </c>
      <c r="F22" s="814">
        <v>224.89</v>
      </c>
      <c r="G22" s="653">
        <v>224.91</v>
      </c>
      <c r="H22" s="653">
        <v>64.209999999999994</v>
      </c>
      <c r="I22" s="653">
        <v>63.66</v>
      </c>
      <c r="J22" s="653">
        <v>12.58</v>
      </c>
      <c r="K22" s="653">
        <v>12.61</v>
      </c>
      <c r="L22" s="653">
        <v>13.42</v>
      </c>
      <c r="M22" s="653">
        <v>13.38</v>
      </c>
      <c r="N22" s="653">
        <v>99.87</v>
      </c>
      <c r="O22" s="653">
        <v>99.6</v>
      </c>
      <c r="P22" s="610" t="s">
        <v>608</v>
      </c>
      <c r="Q22" s="417">
        <v>10.94</v>
      </c>
      <c r="R22" s="417">
        <v>10.94</v>
      </c>
      <c r="S22" s="417">
        <v>1.1499999999999999</v>
      </c>
      <c r="T22" s="417">
        <v>1.1399999999999999</v>
      </c>
      <c r="U22" s="417">
        <v>0.01</v>
      </c>
      <c r="V22" s="417">
        <v>0.01</v>
      </c>
      <c r="W22" s="417">
        <v>0</v>
      </c>
      <c r="X22" s="417">
        <v>0</v>
      </c>
      <c r="Y22" s="417">
        <v>0.81</v>
      </c>
      <c r="Z22" s="417">
        <v>0.81</v>
      </c>
      <c r="AA22" s="417">
        <v>277.14</v>
      </c>
      <c r="AB22" s="417">
        <v>277.35000000000002</v>
      </c>
      <c r="AC22" s="417">
        <v>20.420000000000002</v>
      </c>
      <c r="AD22" s="417">
        <v>20.399999999999999</v>
      </c>
      <c r="AE22" s="610" t="s">
        <v>608</v>
      </c>
      <c r="AF22" s="417">
        <v>7.0000000000000007E-2</v>
      </c>
      <c r="AG22" s="417">
        <v>7.0000000000000007E-2</v>
      </c>
      <c r="AH22" s="417">
        <v>0.76</v>
      </c>
      <c r="AI22" s="417">
        <v>0.76</v>
      </c>
      <c r="AJ22" s="417">
        <v>56.3</v>
      </c>
      <c r="AK22" s="417">
        <v>56.29</v>
      </c>
      <c r="AL22" s="417">
        <v>9.15</v>
      </c>
      <c r="AM22" s="417">
        <v>9.0500000000000007</v>
      </c>
      <c r="AN22" s="417">
        <v>220.26</v>
      </c>
      <c r="AO22" s="417">
        <v>220.23</v>
      </c>
      <c r="AP22" s="417">
        <v>0.52</v>
      </c>
      <c r="AQ22" s="417">
        <v>0.53</v>
      </c>
      <c r="AR22" s="417">
        <v>1.75</v>
      </c>
      <c r="AS22" s="417">
        <v>1.75</v>
      </c>
      <c r="AT22" s="610" t="s">
        <v>608</v>
      </c>
      <c r="AU22" s="487">
        <v>23.29</v>
      </c>
      <c r="AV22" s="417">
        <v>23.29</v>
      </c>
      <c r="AW22" s="417">
        <v>1.0900000000000001</v>
      </c>
      <c r="AX22" s="417">
        <v>1.07</v>
      </c>
      <c r="AY22" s="417">
        <v>22.61</v>
      </c>
      <c r="AZ22" s="417">
        <v>22.61</v>
      </c>
      <c r="BA22" s="417">
        <v>7.0000000000000007E-2</v>
      </c>
      <c r="BB22" s="417">
        <v>7.0000000000000007E-2</v>
      </c>
      <c r="BC22" s="417">
        <v>62.38</v>
      </c>
      <c r="BD22" s="417">
        <v>62.11</v>
      </c>
      <c r="BE22" s="417">
        <v>9.6</v>
      </c>
      <c r="BF22" s="417">
        <v>9.6</v>
      </c>
      <c r="BG22" s="417">
        <v>0.46</v>
      </c>
      <c r="BH22" s="417">
        <v>0.46</v>
      </c>
      <c r="BI22" s="610" t="s">
        <v>608</v>
      </c>
      <c r="BJ22" s="653">
        <v>92.92</v>
      </c>
      <c r="BK22" s="814">
        <v>93.13</v>
      </c>
      <c r="BL22" s="814">
        <v>7.0000000000000007E-2</v>
      </c>
      <c r="BM22" s="814">
        <v>7.0000000000000007E-2</v>
      </c>
      <c r="BN22" s="653">
        <v>119.91</v>
      </c>
      <c r="BO22" s="653">
        <v>119.74</v>
      </c>
      <c r="BP22" s="653">
        <v>2.71</v>
      </c>
      <c r="BQ22" s="653">
        <v>2.72</v>
      </c>
      <c r="BR22" s="653">
        <v>23.09</v>
      </c>
      <c r="BS22" s="653">
        <v>23.09</v>
      </c>
      <c r="BT22" s="653">
        <v>84.8</v>
      </c>
      <c r="BU22" s="653">
        <v>84.8</v>
      </c>
      <c r="BV22" s="653">
        <v>110.13</v>
      </c>
      <c r="BW22" s="653">
        <v>110.09</v>
      </c>
    </row>
    <row r="23" spans="1:75" s="188" customFormat="1" ht="11.85" customHeight="1">
      <c r="A23" s="607" t="s">
        <v>609</v>
      </c>
      <c r="B23" s="654">
        <v>61.58</v>
      </c>
      <c r="C23" s="654">
        <v>62.62</v>
      </c>
      <c r="D23" s="654">
        <v>84.8</v>
      </c>
      <c r="E23" s="654">
        <v>84.8</v>
      </c>
      <c r="F23" s="842">
        <v>224.91</v>
      </c>
      <c r="G23" s="654">
        <v>224.9</v>
      </c>
      <c r="H23" s="654">
        <v>64.77</v>
      </c>
      <c r="I23" s="654">
        <v>65.290000000000006</v>
      </c>
      <c r="J23" s="654">
        <v>12.82</v>
      </c>
      <c r="K23" s="654">
        <v>12.9</v>
      </c>
      <c r="L23" s="654">
        <v>13.46</v>
      </c>
      <c r="M23" s="654">
        <v>13.63</v>
      </c>
      <c r="N23" s="654">
        <v>100.27</v>
      </c>
      <c r="O23" s="654">
        <v>101.45</v>
      </c>
      <c r="P23" s="607" t="s">
        <v>609</v>
      </c>
      <c r="Q23" s="401">
        <v>10.94</v>
      </c>
      <c r="R23" s="401">
        <v>10.94</v>
      </c>
      <c r="S23" s="401">
        <v>1.1399999999999999</v>
      </c>
      <c r="T23" s="401">
        <v>1.1499999999999999</v>
      </c>
      <c r="U23" s="401">
        <v>0.01</v>
      </c>
      <c r="V23" s="401">
        <v>0.01</v>
      </c>
      <c r="W23" s="401">
        <v>0</v>
      </c>
      <c r="X23" s="401">
        <v>0</v>
      </c>
      <c r="Y23" s="401">
        <v>0.81</v>
      </c>
      <c r="Z23" s="401">
        <v>0.81</v>
      </c>
      <c r="AA23" s="401">
        <v>277.39</v>
      </c>
      <c r="AB23" s="401">
        <v>277.58</v>
      </c>
      <c r="AC23" s="401">
        <v>20.61</v>
      </c>
      <c r="AD23" s="401">
        <v>20.84</v>
      </c>
      <c r="AE23" s="607" t="s">
        <v>609</v>
      </c>
      <c r="AF23" s="401">
        <v>7.0000000000000007E-2</v>
      </c>
      <c r="AG23" s="401">
        <v>0.06</v>
      </c>
      <c r="AH23" s="401">
        <v>0.76</v>
      </c>
      <c r="AI23" s="401">
        <v>0.76</v>
      </c>
      <c r="AJ23" s="401">
        <v>58.08</v>
      </c>
      <c r="AK23" s="401">
        <v>59.58</v>
      </c>
      <c r="AL23" s="401">
        <v>9.31</v>
      </c>
      <c r="AM23" s="401">
        <v>9.6</v>
      </c>
      <c r="AN23" s="401">
        <v>220.26</v>
      </c>
      <c r="AO23" s="401">
        <v>220.26</v>
      </c>
      <c r="AP23" s="401">
        <v>0.53</v>
      </c>
      <c r="AQ23" s="401">
        <v>0.53</v>
      </c>
      <c r="AR23" s="401">
        <v>1.76</v>
      </c>
      <c r="AS23" s="401">
        <v>1.76</v>
      </c>
      <c r="AT23" s="607" t="s">
        <v>609</v>
      </c>
      <c r="AU23" s="606">
        <v>23.26</v>
      </c>
      <c r="AV23" s="401">
        <v>23.29</v>
      </c>
      <c r="AW23" s="401">
        <v>1.1000000000000001</v>
      </c>
      <c r="AX23" s="401">
        <v>1.1200000000000001</v>
      </c>
      <c r="AY23" s="401">
        <v>22.61</v>
      </c>
      <c r="AZ23" s="401">
        <v>22.61</v>
      </c>
      <c r="BA23" s="401">
        <v>0.08</v>
      </c>
      <c r="BB23" s="401">
        <v>0.08</v>
      </c>
      <c r="BC23" s="401">
        <v>62.89</v>
      </c>
      <c r="BD23" s="401">
        <v>63.35</v>
      </c>
      <c r="BE23" s="401">
        <v>9.8000000000000007</v>
      </c>
      <c r="BF23" s="401">
        <v>9.98</v>
      </c>
      <c r="BG23" s="401">
        <v>0.46</v>
      </c>
      <c r="BH23" s="401">
        <v>0.46</v>
      </c>
      <c r="BI23" s="607" t="s">
        <v>609</v>
      </c>
      <c r="BJ23" s="654">
        <v>93.04</v>
      </c>
      <c r="BK23" s="842">
        <v>93.77</v>
      </c>
      <c r="BL23" s="842">
        <v>7.0000000000000007E-2</v>
      </c>
      <c r="BM23" s="842">
        <v>7.0000000000000007E-2</v>
      </c>
      <c r="BN23" s="654">
        <v>120.51</v>
      </c>
      <c r="BO23" s="654">
        <v>120.87</v>
      </c>
      <c r="BP23" s="654">
        <v>2.78</v>
      </c>
      <c r="BQ23" s="654">
        <v>2.8</v>
      </c>
      <c r="BR23" s="654">
        <v>23.09</v>
      </c>
      <c r="BS23" s="654">
        <v>23.09</v>
      </c>
      <c r="BT23" s="654">
        <v>84.8</v>
      </c>
      <c r="BU23" s="654">
        <v>84.8</v>
      </c>
      <c r="BV23" s="654">
        <v>111.89</v>
      </c>
      <c r="BW23" s="654">
        <v>112.92</v>
      </c>
    </row>
    <row r="24" spans="1:75" s="188" customFormat="1" ht="11.85" customHeight="1">
      <c r="A24" s="610" t="s">
        <v>602</v>
      </c>
      <c r="B24" s="653">
        <v>63.76</v>
      </c>
      <c r="C24" s="653">
        <v>65.17</v>
      </c>
      <c r="D24" s="653">
        <v>84.8</v>
      </c>
      <c r="E24" s="653">
        <v>84.8</v>
      </c>
      <c r="F24" s="653">
        <v>224.9</v>
      </c>
      <c r="G24" s="653">
        <v>224.91</v>
      </c>
      <c r="H24" s="653">
        <v>66.11</v>
      </c>
      <c r="I24" s="653">
        <v>66.459999999999994</v>
      </c>
      <c r="J24" s="653">
        <v>12.96</v>
      </c>
      <c r="K24" s="653">
        <v>13</v>
      </c>
      <c r="L24" s="653">
        <v>13.85</v>
      </c>
      <c r="M24" s="653">
        <v>14.02</v>
      </c>
      <c r="N24" s="653">
        <v>103.09</v>
      </c>
      <c r="O24" s="653">
        <v>104.28</v>
      </c>
      <c r="P24" s="610" t="s">
        <v>602</v>
      </c>
      <c r="Q24" s="417">
        <v>10.94</v>
      </c>
      <c r="R24" s="417">
        <v>10.94</v>
      </c>
      <c r="S24" s="417">
        <v>1.1499999999999999</v>
      </c>
      <c r="T24" s="417">
        <v>1.1599999999999999</v>
      </c>
      <c r="U24" s="417">
        <v>0.01</v>
      </c>
      <c r="V24" s="417">
        <v>0.01</v>
      </c>
      <c r="W24" s="417">
        <v>0</v>
      </c>
      <c r="X24" s="417">
        <v>0</v>
      </c>
      <c r="Y24" s="417">
        <v>0.82</v>
      </c>
      <c r="Z24" s="417">
        <v>0.82</v>
      </c>
      <c r="AA24" s="417">
        <v>278.12</v>
      </c>
      <c r="AB24" s="417">
        <v>278.58999999999997</v>
      </c>
      <c r="AC24" s="417">
        <v>20.9</v>
      </c>
      <c r="AD24" s="417">
        <v>21.12</v>
      </c>
      <c r="AE24" s="610" t="s">
        <v>602</v>
      </c>
      <c r="AF24" s="417">
        <v>0.06</v>
      </c>
      <c r="AG24" s="417">
        <v>0.06</v>
      </c>
      <c r="AH24" s="417">
        <v>0.77</v>
      </c>
      <c r="AI24" s="417">
        <v>0.77</v>
      </c>
      <c r="AJ24" s="417">
        <v>60.07</v>
      </c>
      <c r="AK24" s="417">
        <v>61.11</v>
      </c>
      <c r="AL24" s="417">
        <v>9.7200000000000006</v>
      </c>
      <c r="AM24" s="417">
        <v>9.93</v>
      </c>
      <c r="AN24" s="417">
        <v>220.26</v>
      </c>
      <c r="AO24" s="417">
        <v>220.26</v>
      </c>
      <c r="AP24" s="417">
        <v>0.53</v>
      </c>
      <c r="AQ24" s="417">
        <v>0.53</v>
      </c>
      <c r="AR24" s="417">
        <v>1.76</v>
      </c>
      <c r="AS24" s="417">
        <v>1.77</v>
      </c>
      <c r="AT24" s="610" t="s">
        <v>602</v>
      </c>
      <c r="AU24" s="487">
        <v>23.27</v>
      </c>
      <c r="AV24" s="417">
        <v>23.29</v>
      </c>
      <c r="AW24" s="417">
        <v>1.1399999999999999</v>
      </c>
      <c r="AX24" s="417">
        <v>1.1499999999999999</v>
      </c>
      <c r="AY24" s="417">
        <v>22.61</v>
      </c>
      <c r="AZ24" s="417">
        <v>22.6</v>
      </c>
      <c r="BA24" s="417">
        <v>0.08</v>
      </c>
      <c r="BB24" s="417">
        <v>0.08</v>
      </c>
      <c r="BC24" s="417">
        <v>63.61</v>
      </c>
      <c r="BD24" s="417">
        <v>64.09</v>
      </c>
      <c r="BE24" s="417">
        <v>10.14</v>
      </c>
      <c r="BF24" s="417">
        <v>10.33</v>
      </c>
      <c r="BG24" s="417">
        <v>0.45</v>
      </c>
      <c r="BH24" s="417">
        <v>0.46</v>
      </c>
      <c r="BI24" s="610" t="s">
        <v>602</v>
      </c>
      <c r="BJ24" s="653">
        <v>95.34</v>
      </c>
      <c r="BK24" s="814">
        <v>96.23</v>
      </c>
      <c r="BL24" s="814">
        <v>7.0000000000000007E-2</v>
      </c>
      <c r="BM24" s="814">
        <v>7.0000000000000007E-2</v>
      </c>
      <c r="BN24" s="653">
        <v>121.96</v>
      </c>
      <c r="BO24" s="653">
        <v>122.14</v>
      </c>
      <c r="BP24" s="653">
        <v>2.82</v>
      </c>
      <c r="BQ24" s="653">
        <v>2.83</v>
      </c>
      <c r="BR24" s="653">
        <v>23.09</v>
      </c>
      <c r="BS24" s="653">
        <v>23.09</v>
      </c>
      <c r="BT24" s="653">
        <v>84.8</v>
      </c>
      <c r="BU24" s="653">
        <v>84.8</v>
      </c>
      <c r="BV24" s="653">
        <v>113.86</v>
      </c>
      <c r="BW24" s="653">
        <v>115.54</v>
      </c>
    </row>
    <row r="25" spans="1:75" s="188" customFormat="1" ht="11.85" customHeight="1">
      <c r="A25" s="607" t="s">
        <v>610</v>
      </c>
      <c r="B25" s="654">
        <v>65.459999999999994</v>
      </c>
      <c r="C25" s="654">
        <v>64.81</v>
      </c>
      <c r="D25" s="654">
        <v>84.8</v>
      </c>
      <c r="E25" s="654">
        <v>84.8</v>
      </c>
      <c r="F25" s="842">
        <v>224.93</v>
      </c>
      <c r="G25" s="654">
        <v>224.94</v>
      </c>
      <c r="H25" s="654">
        <v>66.66</v>
      </c>
      <c r="I25" s="654">
        <v>66.36</v>
      </c>
      <c r="J25" s="654">
        <v>13.09</v>
      </c>
      <c r="K25" s="654">
        <v>13.11</v>
      </c>
      <c r="L25" s="654">
        <v>13.88</v>
      </c>
      <c r="M25" s="654">
        <v>13.84</v>
      </c>
      <c r="N25" s="654">
        <v>103.27</v>
      </c>
      <c r="O25" s="654">
        <v>102.92</v>
      </c>
      <c r="P25" s="607" t="s">
        <v>610</v>
      </c>
      <c r="Q25" s="401">
        <v>10.94</v>
      </c>
      <c r="R25" s="401">
        <v>10.94</v>
      </c>
      <c r="S25" s="401">
        <v>1.1599999999999999</v>
      </c>
      <c r="T25" s="401">
        <v>1.1599999999999999</v>
      </c>
      <c r="U25" s="401">
        <v>0.01</v>
      </c>
      <c r="V25" s="401">
        <v>0.01</v>
      </c>
      <c r="W25" s="401">
        <v>0</v>
      </c>
      <c r="X25" s="401">
        <v>0</v>
      </c>
      <c r="Y25" s="401">
        <v>0.82</v>
      </c>
      <c r="Z25" s="401">
        <v>0.81</v>
      </c>
      <c r="AA25" s="401">
        <v>279.64</v>
      </c>
      <c r="AB25" s="401">
        <v>280.01</v>
      </c>
      <c r="AC25" s="401">
        <v>21.02</v>
      </c>
      <c r="AD25" s="401">
        <v>20.98</v>
      </c>
      <c r="AE25" s="607" t="s">
        <v>610</v>
      </c>
      <c r="AF25" s="401">
        <v>0.06</v>
      </c>
      <c r="AG25" s="401">
        <v>0.06</v>
      </c>
      <c r="AH25" s="401">
        <v>0.77</v>
      </c>
      <c r="AI25" s="401">
        <v>0.77</v>
      </c>
      <c r="AJ25" s="401">
        <v>61</v>
      </c>
      <c r="AK25" s="401">
        <v>60.99</v>
      </c>
      <c r="AL25" s="401">
        <v>9.9499999999999993</v>
      </c>
      <c r="AM25" s="401">
        <v>9.91</v>
      </c>
      <c r="AN25" s="401">
        <v>220.26</v>
      </c>
      <c r="AO25" s="401">
        <v>220.27</v>
      </c>
      <c r="AP25" s="401">
        <v>0.53</v>
      </c>
      <c r="AQ25" s="401">
        <v>0.53</v>
      </c>
      <c r="AR25" s="401">
        <v>1.76</v>
      </c>
      <c r="AS25" s="401">
        <v>1.76</v>
      </c>
      <c r="AT25" s="607" t="s">
        <v>610</v>
      </c>
      <c r="AU25" s="606">
        <v>23.28</v>
      </c>
      <c r="AV25" s="401">
        <v>23.29</v>
      </c>
      <c r="AW25" s="401">
        <v>1.1399999999999999</v>
      </c>
      <c r="AX25" s="401">
        <v>1.1200000000000001</v>
      </c>
      <c r="AY25" s="401">
        <v>22.61</v>
      </c>
      <c r="AZ25" s="401">
        <v>22.61</v>
      </c>
      <c r="BA25" s="401">
        <v>0.08</v>
      </c>
      <c r="BB25" s="401">
        <v>0.08</v>
      </c>
      <c r="BC25" s="401">
        <v>63.97</v>
      </c>
      <c r="BD25" s="401">
        <v>63.81</v>
      </c>
      <c r="BE25" s="401">
        <v>10.23</v>
      </c>
      <c r="BF25" s="401">
        <v>10.14</v>
      </c>
      <c r="BG25" s="401">
        <v>0.44</v>
      </c>
      <c r="BH25" s="401">
        <v>0.44</v>
      </c>
      <c r="BI25" s="607" t="s">
        <v>610</v>
      </c>
      <c r="BJ25" s="654">
        <v>95.67</v>
      </c>
      <c r="BK25" s="842">
        <v>95.24</v>
      </c>
      <c r="BL25" s="842">
        <v>7.0000000000000007E-2</v>
      </c>
      <c r="BM25" s="842">
        <v>7.0000000000000007E-2</v>
      </c>
      <c r="BN25" s="654">
        <v>122.31</v>
      </c>
      <c r="BO25" s="654">
        <v>122.18</v>
      </c>
      <c r="BP25" s="654">
        <v>2.83</v>
      </c>
      <c r="BQ25" s="654">
        <v>2.84</v>
      </c>
      <c r="BR25" s="654">
        <v>23.09</v>
      </c>
      <c r="BS25" s="654">
        <v>23.09</v>
      </c>
      <c r="BT25" s="654">
        <v>84.8</v>
      </c>
      <c r="BU25" s="654">
        <v>84.8</v>
      </c>
      <c r="BV25" s="654">
        <v>115.64</v>
      </c>
      <c r="BW25" s="654">
        <v>116.21</v>
      </c>
    </row>
    <row r="26" spans="1:75" s="188" customFormat="1" ht="11.85" customHeight="1">
      <c r="A26" s="610" t="s">
        <v>611</v>
      </c>
      <c r="B26" s="653">
        <v>65.72</v>
      </c>
      <c r="C26" s="653">
        <v>65.349999999999994</v>
      </c>
      <c r="D26" s="653">
        <v>84.8</v>
      </c>
      <c r="E26" s="653">
        <v>84.8</v>
      </c>
      <c r="F26" s="814">
        <v>224.91</v>
      </c>
      <c r="G26" s="653">
        <v>224.91</v>
      </c>
      <c r="H26" s="653">
        <v>66.790000000000006</v>
      </c>
      <c r="I26" s="653">
        <v>66.56</v>
      </c>
      <c r="J26" s="653">
        <v>13.14</v>
      </c>
      <c r="K26" s="653">
        <v>13.1</v>
      </c>
      <c r="L26" s="653">
        <v>13.79</v>
      </c>
      <c r="M26" s="653">
        <v>13.77</v>
      </c>
      <c r="N26" s="653">
        <v>102.55</v>
      </c>
      <c r="O26" s="653">
        <v>102.41</v>
      </c>
      <c r="P26" s="610" t="s">
        <v>611</v>
      </c>
      <c r="Q26" s="417">
        <v>10.94</v>
      </c>
      <c r="R26" s="417">
        <v>10.93</v>
      </c>
      <c r="S26" s="417">
        <v>1.17</v>
      </c>
      <c r="T26" s="417">
        <v>1.1499999999999999</v>
      </c>
      <c r="U26" s="417">
        <v>0.01</v>
      </c>
      <c r="V26" s="417">
        <v>0.01</v>
      </c>
      <c r="W26" s="417">
        <v>0</v>
      </c>
      <c r="X26" s="417">
        <v>0</v>
      </c>
      <c r="Y26" s="417">
        <v>0.81</v>
      </c>
      <c r="Z26" s="417">
        <v>0.8</v>
      </c>
      <c r="AA26" s="417">
        <v>280.2</v>
      </c>
      <c r="AB26" s="417">
        <v>280.14999999999998</v>
      </c>
      <c r="AC26" s="417">
        <v>20.97</v>
      </c>
      <c r="AD26" s="417">
        <v>20.92</v>
      </c>
      <c r="AE26" s="610" t="s">
        <v>611</v>
      </c>
      <c r="AF26" s="417">
        <v>0.06</v>
      </c>
      <c r="AG26" s="417">
        <v>0.06</v>
      </c>
      <c r="AH26" s="417">
        <v>0.77</v>
      </c>
      <c r="AI26" s="417">
        <v>0.77</v>
      </c>
      <c r="AJ26" s="417">
        <v>61.41</v>
      </c>
      <c r="AK26" s="417">
        <v>61.36</v>
      </c>
      <c r="AL26" s="417">
        <v>9.98</v>
      </c>
      <c r="AM26" s="417">
        <v>9.8000000000000007</v>
      </c>
      <c r="AN26" s="417">
        <v>220.26</v>
      </c>
      <c r="AO26" s="417">
        <v>220.27</v>
      </c>
      <c r="AP26" s="417">
        <v>0.53</v>
      </c>
      <c r="AQ26" s="417">
        <v>0.54</v>
      </c>
      <c r="AR26" s="417">
        <v>1.76</v>
      </c>
      <c r="AS26" s="417">
        <v>1.74</v>
      </c>
      <c r="AT26" s="610" t="s">
        <v>611</v>
      </c>
      <c r="AU26" s="487">
        <v>23.28</v>
      </c>
      <c r="AV26" s="417">
        <v>23.29</v>
      </c>
      <c r="AW26" s="417">
        <v>1.1399999999999999</v>
      </c>
      <c r="AX26" s="417">
        <v>1.1399999999999999</v>
      </c>
      <c r="AY26" s="417">
        <v>22.61</v>
      </c>
      <c r="AZ26" s="417">
        <v>22.61</v>
      </c>
      <c r="BA26" s="417">
        <v>0.08</v>
      </c>
      <c r="BB26" s="417">
        <v>0.08</v>
      </c>
      <c r="BC26" s="417">
        <v>63.87</v>
      </c>
      <c r="BD26" s="417">
        <v>63.68</v>
      </c>
      <c r="BE26" s="417">
        <v>10.18</v>
      </c>
      <c r="BF26" s="417">
        <v>10.050000000000001</v>
      </c>
      <c r="BG26" s="417">
        <v>0.44</v>
      </c>
      <c r="BH26" s="417">
        <v>0.44</v>
      </c>
      <c r="BI26" s="610" t="s">
        <v>611</v>
      </c>
      <c r="BJ26" s="653">
        <v>94.52</v>
      </c>
      <c r="BK26" s="814">
        <v>93.35</v>
      </c>
      <c r="BL26" s="814">
        <v>7.0000000000000007E-2</v>
      </c>
      <c r="BM26" s="814">
        <v>7.0000000000000007E-2</v>
      </c>
      <c r="BN26" s="653">
        <v>122.11</v>
      </c>
      <c r="BO26" s="653">
        <v>122.05</v>
      </c>
      <c r="BP26" s="653">
        <v>2.83</v>
      </c>
      <c r="BQ26" s="653">
        <v>2.78</v>
      </c>
      <c r="BR26" s="653">
        <v>23.09</v>
      </c>
      <c r="BS26" s="653">
        <v>23.09</v>
      </c>
      <c r="BT26" s="653">
        <v>84.8</v>
      </c>
      <c r="BU26" s="653">
        <v>84.8</v>
      </c>
      <c r="BV26" s="653">
        <v>117.48</v>
      </c>
      <c r="BW26" s="653">
        <v>118.16</v>
      </c>
    </row>
    <row r="27" spans="1:75" s="188" customFormat="1" ht="11.85" customHeight="1">
      <c r="A27" s="607" t="s">
        <v>603</v>
      </c>
      <c r="B27" s="654">
        <v>65.400000000000006</v>
      </c>
      <c r="C27" s="654">
        <v>64.42</v>
      </c>
      <c r="D27" s="654">
        <v>84.8</v>
      </c>
      <c r="E27" s="654">
        <v>84.8</v>
      </c>
      <c r="F27" s="842">
        <v>224.91</v>
      </c>
      <c r="G27" s="654">
        <v>224.94</v>
      </c>
      <c r="H27" s="654">
        <v>67.44</v>
      </c>
      <c r="I27" s="654">
        <v>67.11</v>
      </c>
      <c r="J27" s="654">
        <v>13.04</v>
      </c>
      <c r="K27" s="654">
        <v>12.9</v>
      </c>
      <c r="L27" s="654">
        <v>13.59</v>
      </c>
      <c r="M27" s="654">
        <v>13.36</v>
      </c>
      <c r="N27" s="654">
        <v>101.08</v>
      </c>
      <c r="O27" s="654">
        <v>99.35</v>
      </c>
      <c r="P27" s="607" t="s">
        <v>603</v>
      </c>
      <c r="Q27" s="401">
        <v>10.92</v>
      </c>
      <c r="R27" s="401">
        <v>10.91</v>
      </c>
      <c r="S27" s="401">
        <v>1.1599999999999999</v>
      </c>
      <c r="T27" s="401">
        <v>1.1499999999999999</v>
      </c>
      <c r="U27" s="401">
        <v>0.01</v>
      </c>
      <c r="V27" s="401">
        <v>0.01</v>
      </c>
      <c r="W27" s="401">
        <v>0</v>
      </c>
      <c r="X27" s="401">
        <v>0</v>
      </c>
      <c r="Y27" s="401">
        <v>0.78</v>
      </c>
      <c r="Z27" s="401">
        <v>0.77</v>
      </c>
      <c r="AA27" s="401">
        <v>280.41000000000003</v>
      </c>
      <c r="AB27" s="401">
        <v>280.62</v>
      </c>
      <c r="AC27" s="401">
        <v>20.64</v>
      </c>
      <c r="AD27" s="401">
        <v>20.39</v>
      </c>
      <c r="AE27" s="607" t="s">
        <v>603</v>
      </c>
      <c r="AF27" s="401">
        <v>0.06</v>
      </c>
      <c r="AG27" s="401">
        <v>0.06</v>
      </c>
      <c r="AH27" s="401">
        <v>0.76</v>
      </c>
      <c r="AI27" s="401">
        <v>0.76</v>
      </c>
      <c r="AJ27" s="401">
        <v>60.59</v>
      </c>
      <c r="AK27" s="401">
        <v>59.21</v>
      </c>
      <c r="AL27" s="401">
        <v>9.9600000000000009</v>
      </c>
      <c r="AM27" s="401">
        <v>9.91</v>
      </c>
      <c r="AN27" s="401">
        <v>220.26</v>
      </c>
      <c r="AO27" s="401">
        <v>220.27</v>
      </c>
      <c r="AP27" s="401">
        <v>0.54</v>
      </c>
      <c r="AQ27" s="401">
        <v>0.55000000000000004</v>
      </c>
      <c r="AR27" s="401">
        <v>1.75</v>
      </c>
      <c r="AS27" s="401">
        <v>1.75</v>
      </c>
      <c r="AT27" s="607" t="s">
        <v>603</v>
      </c>
      <c r="AU27" s="606">
        <v>23.22</v>
      </c>
      <c r="AV27" s="401">
        <v>23.29</v>
      </c>
      <c r="AW27" s="401">
        <v>1.1399999999999999</v>
      </c>
      <c r="AX27" s="401">
        <v>1.1200000000000001</v>
      </c>
      <c r="AY27" s="401">
        <v>22.61</v>
      </c>
      <c r="AZ27" s="401">
        <v>22.61</v>
      </c>
      <c r="BA27" s="401">
        <v>7.0000000000000007E-2</v>
      </c>
      <c r="BB27" s="401">
        <v>7.0000000000000007E-2</v>
      </c>
      <c r="BC27" s="401">
        <v>63.2</v>
      </c>
      <c r="BD27" s="401">
        <v>62.91</v>
      </c>
      <c r="BE27" s="401">
        <v>9.94</v>
      </c>
      <c r="BF27" s="401">
        <v>9.6999999999999993</v>
      </c>
      <c r="BG27" s="401">
        <v>0.43</v>
      </c>
      <c r="BH27" s="401">
        <v>0.42</v>
      </c>
      <c r="BI27" s="607" t="s">
        <v>603</v>
      </c>
      <c r="BJ27" s="654">
        <v>91.33</v>
      </c>
      <c r="BK27" s="654">
        <v>90</v>
      </c>
      <c r="BL27" s="842">
        <v>7.0000000000000007E-2</v>
      </c>
      <c r="BM27" s="842">
        <v>7.0000000000000007E-2</v>
      </c>
      <c r="BN27" s="654">
        <v>121.1</v>
      </c>
      <c r="BO27" s="654">
        <v>120.15</v>
      </c>
      <c r="BP27" s="654">
        <v>2.76</v>
      </c>
      <c r="BQ27" s="654">
        <v>2.7</v>
      </c>
      <c r="BR27" s="654">
        <v>23.09</v>
      </c>
      <c r="BS27" s="654">
        <v>23.09</v>
      </c>
      <c r="BT27" s="654">
        <v>84.8</v>
      </c>
      <c r="BU27" s="654">
        <v>84.8</v>
      </c>
      <c r="BV27" s="654">
        <v>117.59</v>
      </c>
      <c r="BW27" s="654">
        <v>116.53</v>
      </c>
    </row>
    <row r="28" spans="1:75" s="188" customFormat="1" ht="11.85" customHeight="1">
      <c r="A28" s="610" t="s">
        <v>612</v>
      </c>
      <c r="B28" s="653">
        <v>65.22</v>
      </c>
      <c r="C28" s="653">
        <v>66.069999999999993</v>
      </c>
      <c r="D28" s="653">
        <v>84.8</v>
      </c>
      <c r="E28" s="653">
        <v>84.8</v>
      </c>
      <c r="F28" s="814">
        <v>224.93</v>
      </c>
      <c r="G28" s="653">
        <v>224.94</v>
      </c>
      <c r="H28" s="653">
        <v>67.77</v>
      </c>
      <c r="I28" s="653">
        <v>68.87</v>
      </c>
      <c r="J28" s="653">
        <v>13</v>
      </c>
      <c r="K28" s="653">
        <v>13.1</v>
      </c>
      <c r="L28" s="653">
        <v>13.63</v>
      </c>
      <c r="M28" s="653">
        <v>13.83</v>
      </c>
      <c r="N28" s="653">
        <v>101.35</v>
      </c>
      <c r="O28" s="653">
        <v>102.82</v>
      </c>
      <c r="P28" s="610" t="s">
        <v>612</v>
      </c>
      <c r="Q28" s="417">
        <v>10.91</v>
      </c>
      <c r="R28" s="417">
        <v>10.92</v>
      </c>
      <c r="S28" s="417">
        <v>1.1399999999999999</v>
      </c>
      <c r="T28" s="417">
        <v>1.1399999999999999</v>
      </c>
      <c r="U28" s="417">
        <v>0.01</v>
      </c>
      <c r="V28" s="417">
        <v>0.01</v>
      </c>
      <c r="W28" s="417">
        <v>0</v>
      </c>
      <c r="X28" s="417">
        <v>0</v>
      </c>
      <c r="Y28" s="417">
        <v>0.78</v>
      </c>
      <c r="Z28" s="417">
        <v>0.78</v>
      </c>
      <c r="AA28" s="417">
        <v>281.17</v>
      </c>
      <c r="AB28" s="417">
        <v>281.73</v>
      </c>
      <c r="AC28" s="417">
        <v>20.56</v>
      </c>
      <c r="AD28" s="417">
        <v>20.67</v>
      </c>
      <c r="AE28" s="610" t="s">
        <v>612</v>
      </c>
      <c r="AF28" s="417">
        <v>0.06</v>
      </c>
      <c r="AG28" s="417">
        <v>0.05</v>
      </c>
      <c r="AH28" s="417">
        <v>0.76</v>
      </c>
      <c r="AI28" s="417">
        <v>0.77</v>
      </c>
      <c r="AJ28" s="417">
        <v>60.33</v>
      </c>
      <c r="AK28" s="417">
        <v>61.51</v>
      </c>
      <c r="AL28" s="417">
        <v>10.09</v>
      </c>
      <c r="AM28" s="417">
        <v>10.36</v>
      </c>
      <c r="AN28" s="417">
        <v>220.3</v>
      </c>
      <c r="AO28" s="417">
        <v>220.26</v>
      </c>
      <c r="AP28" s="417">
        <v>0.55000000000000004</v>
      </c>
      <c r="AQ28" s="417">
        <v>0.55000000000000004</v>
      </c>
      <c r="AR28" s="417">
        <v>1.75</v>
      </c>
      <c r="AS28" s="417">
        <v>1.75</v>
      </c>
      <c r="AT28" s="610" t="s">
        <v>612</v>
      </c>
      <c r="AU28" s="487">
        <v>23.24</v>
      </c>
      <c r="AV28" s="417">
        <v>23.29</v>
      </c>
      <c r="AW28" s="417">
        <v>1.1100000000000001</v>
      </c>
      <c r="AX28" s="417">
        <v>1.1399999999999999</v>
      </c>
      <c r="AY28" s="417">
        <v>22.61</v>
      </c>
      <c r="AZ28" s="417">
        <v>22.61</v>
      </c>
      <c r="BA28" s="417">
        <v>0.08</v>
      </c>
      <c r="BB28" s="417">
        <v>0.08</v>
      </c>
      <c r="BC28" s="417">
        <v>63.49</v>
      </c>
      <c r="BD28" s="417">
        <v>63.99</v>
      </c>
      <c r="BE28" s="417">
        <v>9.9600000000000009</v>
      </c>
      <c r="BF28" s="417">
        <v>10.18</v>
      </c>
      <c r="BG28" s="417">
        <v>0.43</v>
      </c>
      <c r="BH28" s="417">
        <v>0.43</v>
      </c>
      <c r="BI28" s="610" t="s">
        <v>612</v>
      </c>
      <c r="BJ28" s="653">
        <v>91.8</v>
      </c>
      <c r="BK28" s="653">
        <v>93.23</v>
      </c>
      <c r="BL28" s="814">
        <v>0.06</v>
      </c>
      <c r="BM28" s="814">
        <v>0.03</v>
      </c>
      <c r="BN28" s="653">
        <v>121.09</v>
      </c>
      <c r="BO28" s="653">
        <v>121.93</v>
      </c>
      <c r="BP28" s="653">
        <v>2.7</v>
      </c>
      <c r="BQ28" s="653">
        <v>2.71</v>
      </c>
      <c r="BR28" s="653">
        <v>23.09</v>
      </c>
      <c r="BS28" s="653">
        <v>23.09</v>
      </c>
      <c r="BT28" s="653">
        <v>84.8</v>
      </c>
      <c r="BU28" s="653">
        <v>84.8</v>
      </c>
      <c r="BV28" s="653">
        <v>117.32</v>
      </c>
      <c r="BW28" s="653">
        <v>118.16</v>
      </c>
    </row>
    <row r="29" spans="1:75" s="188" customFormat="1" ht="11.85" customHeight="1">
      <c r="A29" s="607" t="s">
        <v>613</v>
      </c>
      <c r="B29" s="654">
        <v>65.849999999999994</v>
      </c>
      <c r="C29" s="654">
        <v>65.41</v>
      </c>
      <c r="D29" s="654">
        <v>84.8</v>
      </c>
      <c r="E29" s="654">
        <v>84.8</v>
      </c>
      <c r="F29" s="842">
        <v>224.92</v>
      </c>
      <c r="G29" s="654">
        <v>224.9</v>
      </c>
      <c r="H29" s="654">
        <v>69.87</v>
      </c>
      <c r="I29" s="654">
        <v>70.23</v>
      </c>
      <c r="J29" s="654">
        <v>13.17</v>
      </c>
      <c r="K29" s="654">
        <v>13.32</v>
      </c>
      <c r="L29" s="654">
        <v>13.84</v>
      </c>
      <c r="M29" s="654">
        <v>13.9</v>
      </c>
      <c r="N29" s="654">
        <v>102.93</v>
      </c>
      <c r="O29" s="654">
        <v>103.38</v>
      </c>
      <c r="P29" s="607" t="s">
        <v>613</v>
      </c>
      <c r="Q29" s="401">
        <v>10.92</v>
      </c>
      <c r="R29" s="401">
        <v>10.93</v>
      </c>
      <c r="S29" s="401">
        <v>1.1599999999999999</v>
      </c>
      <c r="T29" s="401">
        <v>1.17</v>
      </c>
      <c r="U29" s="401">
        <v>0.01</v>
      </c>
      <c r="V29" s="401">
        <v>0.01</v>
      </c>
      <c r="W29" s="401">
        <v>0</v>
      </c>
      <c r="X29" s="401">
        <v>0</v>
      </c>
      <c r="Y29" s="401">
        <v>0.78</v>
      </c>
      <c r="Z29" s="401">
        <v>0.77</v>
      </c>
      <c r="AA29" s="401">
        <v>281.75</v>
      </c>
      <c r="AB29" s="401">
        <v>281.91000000000003</v>
      </c>
      <c r="AC29" s="401">
        <v>20.54</v>
      </c>
      <c r="AD29" s="401">
        <v>20.5</v>
      </c>
      <c r="AE29" s="607" t="s">
        <v>613</v>
      </c>
      <c r="AF29" s="401">
        <v>0.05</v>
      </c>
      <c r="AG29" s="401">
        <v>0.05</v>
      </c>
      <c r="AH29" s="401">
        <v>0.77</v>
      </c>
      <c r="AI29" s="401">
        <v>0.77</v>
      </c>
      <c r="AJ29" s="401">
        <v>61.28</v>
      </c>
      <c r="AK29" s="401">
        <v>61.47</v>
      </c>
      <c r="AL29" s="401">
        <v>10.210000000000001</v>
      </c>
      <c r="AM29" s="401">
        <v>10.130000000000001</v>
      </c>
      <c r="AN29" s="401">
        <v>220.26</v>
      </c>
      <c r="AO29" s="401">
        <v>220.26</v>
      </c>
      <c r="AP29" s="401">
        <v>0.55000000000000004</v>
      </c>
      <c r="AQ29" s="401">
        <v>0.55000000000000004</v>
      </c>
      <c r="AR29" s="401">
        <v>1.77</v>
      </c>
      <c r="AS29" s="401">
        <v>1.78</v>
      </c>
      <c r="AT29" s="607" t="s">
        <v>613</v>
      </c>
      <c r="AU29" s="606">
        <v>23.16</v>
      </c>
      <c r="AV29" s="401">
        <v>23.15</v>
      </c>
      <c r="AW29" s="401">
        <v>1.1399999999999999</v>
      </c>
      <c r="AX29" s="401">
        <v>1.1599999999999999</v>
      </c>
      <c r="AY29" s="401">
        <v>22.61</v>
      </c>
      <c r="AZ29" s="401">
        <v>22.61</v>
      </c>
      <c r="BA29" s="401">
        <v>0.08</v>
      </c>
      <c r="BB29" s="401">
        <v>0.08</v>
      </c>
      <c r="BC29" s="401">
        <v>63.79</v>
      </c>
      <c r="BD29" s="401">
        <v>64.11</v>
      </c>
      <c r="BE29" s="401">
        <v>10.15</v>
      </c>
      <c r="BF29" s="401">
        <v>10.210000000000001</v>
      </c>
      <c r="BG29" s="401">
        <v>0.43</v>
      </c>
      <c r="BH29" s="401">
        <v>0.43</v>
      </c>
      <c r="BI29" s="607" t="s">
        <v>613</v>
      </c>
      <c r="BJ29" s="654">
        <v>93.86</v>
      </c>
      <c r="BK29" s="654">
        <v>94.23</v>
      </c>
      <c r="BL29" s="842">
        <v>0.03</v>
      </c>
      <c r="BM29" s="842">
        <v>0.03</v>
      </c>
      <c r="BN29" s="654">
        <v>122.12</v>
      </c>
      <c r="BO29" s="654">
        <v>122.4</v>
      </c>
      <c r="BP29" s="654">
        <v>2.71</v>
      </c>
      <c r="BQ29" s="654">
        <v>2.71</v>
      </c>
      <c r="BR29" s="654">
        <v>23.09</v>
      </c>
      <c r="BS29" s="654">
        <v>23.09</v>
      </c>
      <c r="BT29" s="654">
        <v>84.8</v>
      </c>
      <c r="BU29" s="654">
        <v>84.8</v>
      </c>
      <c r="BV29" s="654">
        <v>119.28</v>
      </c>
      <c r="BW29" s="654">
        <v>120.32</v>
      </c>
    </row>
    <row r="30" spans="1:75" s="188" customFormat="1" ht="11.85" customHeight="1">
      <c r="A30" s="610" t="s">
        <v>604</v>
      </c>
      <c r="B30" s="653">
        <v>64.89</v>
      </c>
      <c r="C30" s="653">
        <v>63.71</v>
      </c>
      <c r="D30" s="653">
        <v>84.81</v>
      </c>
      <c r="E30" s="653">
        <v>84.81</v>
      </c>
      <c r="F30" s="814">
        <v>224.95</v>
      </c>
      <c r="G30" s="653">
        <v>224.97</v>
      </c>
      <c r="H30" s="653">
        <v>69.459999999999994</v>
      </c>
      <c r="I30" s="653">
        <v>68.39</v>
      </c>
      <c r="J30" s="653">
        <v>13.21</v>
      </c>
      <c r="K30" s="653">
        <v>13.13</v>
      </c>
      <c r="L30" s="653">
        <v>13.75</v>
      </c>
      <c r="M30" s="653">
        <v>13.57</v>
      </c>
      <c r="N30" s="653">
        <v>102.27</v>
      </c>
      <c r="O30" s="653">
        <v>100.9</v>
      </c>
      <c r="P30" s="610" t="s">
        <v>604</v>
      </c>
      <c r="Q30" s="417">
        <v>10.93</v>
      </c>
      <c r="R30" s="417">
        <v>10.92</v>
      </c>
      <c r="S30" s="417">
        <v>1.1499999999999999</v>
      </c>
      <c r="T30" s="417">
        <v>1.1399999999999999</v>
      </c>
      <c r="U30" s="417">
        <v>0.01</v>
      </c>
      <c r="V30" s="417">
        <v>0.01</v>
      </c>
      <c r="W30" s="417">
        <v>0</v>
      </c>
      <c r="X30" s="417">
        <v>0</v>
      </c>
      <c r="Y30" s="417">
        <v>0.77</v>
      </c>
      <c r="Z30" s="417">
        <v>0.77</v>
      </c>
      <c r="AA30" s="417">
        <v>281.77</v>
      </c>
      <c r="AB30" s="417">
        <v>281.68</v>
      </c>
      <c r="AC30" s="417">
        <v>20.52</v>
      </c>
      <c r="AD30" s="417">
        <v>20.420000000000002</v>
      </c>
      <c r="AE30" s="610" t="s">
        <v>604</v>
      </c>
      <c r="AF30" s="417">
        <v>0.05</v>
      </c>
      <c r="AG30" s="417">
        <v>0.05</v>
      </c>
      <c r="AH30" s="417">
        <v>0.77</v>
      </c>
      <c r="AI30" s="417">
        <v>0.77</v>
      </c>
      <c r="AJ30" s="417">
        <v>60.34</v>
      </c>
      <c r="AK30" s="417">
        <v>59.29</v>
      </c>
      <c r="AL30" s="417">
        <v>10.08</v>
      </c>
      <c r="AM30" s="417">
        <v>9.9</v>
      </c>
      <c r="AN30" s="417">
        <v>220.3</v>
      </c>
      <c r="AO30" s="417">
        <v>220.29</v>
      </c>
      <c r="AP30" s="417">
        <v>0.54</v>
      </c>
      <c r="AQ30" s="417">
        <v>0.54</v>
      </c>
      <c r="AR30" s="417">
        <v>1.76</v>
      </c>
      <c r="AS30" s="417">
        <v>1.74</v>
      </c>
      <c r="AT30" s="610" t="s">
        <v>604</v>
      </c>
      <c r="AU30" s="487">
        <v>23.16</v>
      </c>
      <c r="AV30" s="417">
        <v>22.91</v>
      </c>
      <c r="AW30" s="417">
        <v>1.17</v>
      </c>
      <c r="AX30" s="417">
        <v>1.1599999999999999</v>
      </c>
      <c r="AY30" s="417">
        <v>22.62</v>
      </c>
      <c r="AZ30" s="417">
        <v>22.61</v>
      </c>
      <c r="BA30" s="417">
        <v>0.08</v>
      </c>
      <c r="BB30" s="417">
        <v>0.08</v>
      </c>
      <c r="BC30" s="417">
        <v>63.63</v>
      </c>
      <c r="BD30" s="417">
        <v>63.04</v>
      </c>
      <c r="BE30" s="417">
        <v>10.11</v>
      </c>
      <c r="BF30" s="417">
        <v>9.9499999999999993</v>
      </c>
      <c r="BG30" s="417">
        <v>0.43</v>
      </c>
      <c r="BH30" s="417">
        <v>0.43</v>
      </c>
      <c r="BI30" s="610" t="s">
        <v>604</v>
      </c>
      <c r="BJ30" s="653">
        <v>93.52</v>
      </c>
      <c r="BK30" s="653">
        <v>92.11</v>
      </c>
      <c r="BL30" s="814">
        <v>0.03</v>
      </c>
      <c r="BM30" s="814">
        <v>0.03</v>
      </c>
      <c r="BN30" s="653">
        <v>121.8</v>
      </c>
      <c r="BO30" s="653">
        <v>121.01</v>
      </c>
      <c r="BP30" s="653">
        <v>2.7</v>
      </c>
      <c r="BQ30" s="653">
        <v>2.65</v>
      </c>
      <c r="BR30" s="653">
        <v>23.09</v>
      </c>
      <c r="BS30" s="653">
        <v>23.09</v>
      </c>
      <c r="BT30" s="653">
        <v>84.81</v>
      </c>
      <c r="BU30" s="653">
        <v>84.81</v>
      </c>
      <c r="BV30" s="653">
        <v>119.03</v>
      </c>
      <c r="BW30" s="653">
        <v>117.36</v>
      </c>
    </row>
    <row r="31" spans="1:75" s="188" customFormat="1" ht="11.85" customHeight="1">
      <c r="A31" s="612" t="s">
        <v>2166</v>
      </c>
      <c r="B31" s="755">
        <v>62.632107885953701</v>
      </c>
      <c r="C31" s="755">
        <f>C43</f>
        <v>64.312288642109806</v>
      </c>
      <c r="D31" s="755">
        <v>86.300625801282095</v>
      </c>
      <c r="E31" s="1495">
        <f>E43</f>
        <v>93.45</v>
      </c>
      <c r="F31" s="755">
        <v>228.90339795048399</v>
      </c>
      <c r="G31" s="755">
        <f>G43</f>
        <v>247.87798408488101</v>
      </c>
      <c r="H31" s="755">
        <v>68.192807053052405</v>
      </c>
      <c r="I31" s="755">
        <f t="shared" ref="I31" si="1">I43</f>
        <v>72.4811913441402</v>
      </c>
      <c r="J31" s="755">
        <v>13.3677632698337</v>
      </c>
      <c r="K31" s="755">
        <f>K43</f>
        <v>13.924069493697299</v>
      </c>
      <c r="L31" s="755">
        <v>13.0828722420963</v>
      </c>
      <c r="M31" s="755">
        <f>M43</f>
        <v>13.1145010314776</v>
      </c>
      <c r="N31" s="755">
        <v>97.316128944854796</v>
      </c>
      <c r="O31" s="755">
        <f>O43</f>
        <v>97.571141419883105</v>
      </c>
      <c r="P31" s="612" t="s">
        <v>2166</v>
      </c>
      <c r="Q31" s="672">
        <v>11.057872111094801</v>
      </c>
      <c r="R31" s="672">
        <f>R43</f>
        <v>11.909465125466699</v>
      </c>
      <c r="S31" s="672">
        <v>1.1454707387132601</v>
      </c>
      <c r="T31" s="672">
        <f>T43</f>
        <v>1.1837355120653601</v>
      </c>
      <c r="U31" s="672">
        <v>5.9986516404194898E-3</v>
      </c>
      <c r="V31" s="672">
        <f>V43</f>
        <v>6.2791869645556896E-3</v>
      </c>
      <c r="W31" s="672">
        <v>2.0547768047924301E-3</v>
      </c>
      <c r="X31" s="672">
        <f>X43</f>
        <v>2.225E-3</v>
      </c>
      <c r="Y31" s="672">
        <v>0.73792922776657999</v>
      </c>
      <c r="Z31" s="672">
        <f>Z43</f>
        <v>0.68413924374977098</v>
      </c>
      <c r="AA31" s="672">
        <v>284.79494477316598</v>
      </c>
      <c r="AB31" s="672">
        <f>AB43</f>
        <v>304.59582790091298</v>
      </c>
      <c r="AC31" s="672">
        <v>20.4044480830926</v>
      </c>
      <c r="AD31" s="672">
        <f>AD43</f>
        <v>21.209714026327699</v>
      </c>
      <c r="AE31" s="612" t="s">
        <v>2166</v>
      </c>
      <c r="AF31" s="672">
        <v>4.8513262948088498E-2</v>
      </c>
      <c r="AG31" s="672">
        <f>AG43</f>
        <v>5.0472589792060499E-2</v>
      </c>
      <c r="AH31" s="672">
        <v>0.75722637675896198</v>
      </c>
      <c r="AI31" s="672">
        <f>AI43</f>
        <v>0.78847119274724597</v>
      </c>
      <c r="AJ31" s="672">
        <v>58.7731230587749</v>
      </c>
      <c r="AK31" s="672">
        <f>AK43</f>
        <v>58.102537124246098</v>
      </c>
      <c r="AL31" s="672">
        <v>9.6705436584064195</v>
      </c>
      <c r="AM31" s="672">
        <f>AM43</f>
        <v>9.4238303408007997</v>
      </c>
      <c r="AN31" s="672">
        <v>224.15752312170301</v>
      </c>
      <c r="AO31" s="672">
        <f>AO43</f>
        <v>242.727272727273</v>
      </c>
      <c r="AP31" s="672">
        <v>0.48789368554130003</v>
      </c>
      <c r="AQ31" s="672">
        <f>AQ43</f>
        <v>0.45752753977968202</v>
      </c>
      <c r="AR31" s="672">
        <v>1.68568591537709</v>
      </c>
      <c r="AS31" s="672">
        <f>AS43</f>
        <v>1.7028061224489801</v>
      </c>
      <c r="AT31" s="612" t="s">
        <v>2166</v>
      </c>
      <c r="AU31" s="599">
        <v>23.6001978973406</v>
      </c>
      <c r="AV31" s="672">
        <f>AV43</f>
        <v>25.511875511875498</v>
      </c>
      <c r="AW31" s="672">
        <v>1.1694251333424299</v>
      </c>
      <c r="AX31" s="672">
        <f>AX43</f>
        <v>1.7690487458589701</v>
      </c>
      <c r="AY31" s="672">
        <v>23.005250020056899</v>
      </c>
      <c r="AZ31" s="672">
        <f>AZ43</f>
        <v>24.906052610538101</v>
      </c>
      <c r="BA31" s="672">
        <v>7.18486640819683E-2</v>
      </c>
      <c r="BB31" s="672">
        <f>BB43</f>
        <v>7.1928879310344807E-2</v>
      </c>
      <c r="BC31" s="672">
        <v>63.469752162503802</v>
      </c>
      <c r="BD31" s="672">
        <f>BD43</f>
        <v>67.0493273542601</v>
      </c>
      <c r="BE31" s="672">
        <v>9.4821334587212203</v>
      </c>
      <c r="BF31" s="672">
        <f>BF43</f>
        <v>9.1328886608517195</v>
      </c>
      <c r="BG31" s="672">
        <v>0.37657004942998001</v>
      </c>
      <c r="BH31" s="672">
        <f>BH43</f>
        <v>0.25886426592797801</v>
      </c>
      <c r="BI31" s="612" t="s">
        <v>2166</v>
      </c>
      <c r="BJ31" s="755">
        <v>92.631618793016997</v>
      </c>
      <c r="BK31" s="672">
        <f>BK43</f>
        <v>97.827793771264098</v>
      </c>
      <c r="BL31" s="755">
        <v>3.43529430421185E-2</v>
      </c>
      <c r="BM31" s="672">
        <f>BM43</f>
        <v>3.7194029850746303E-2</v>
      </c>
      <c r="BN31" s="755">
        <v>120.167964158673</v>
      </c>
      <c r="BO31" s="672">
        <f>BO43</f>
        <v>124.08710662594601</v>
      </c>
      <c r="BP31" s="755">
        <v>2.5815933240538902</v>
      </c>
      <c r="BQ31" s="672">
        <f>BQ43</f>
        <v>2.6476838079048002</v>
      </c>
      <c r="BR31" s="755">
        <v>23.495424609959599</v>
      </c>
      <c r="BS31" s="672">
        <f>BS43</f>
        <v>25.441724973455699</v>
      </c>
      <c r="BT31" s="755">
        <v>86.300625801282095</v>
      </c>
      <c r="BU31" s="672">
        <f>BU43</f>
        <v>93.45</v>
      </c>
      <c r="BV31" s="755">
        <v>114.891880227879</v>
      </c>
      <c r="BW31" s="672">
        <f>BW43</f>
        <v>113.326811917622</v>
      </c>
    </row>
    <row r="32" spans="1:75" s="188" customFormat="1" ht="11.85" customHeight="1">
      <c r="A32" s="610" t="s">
        <v>606</v>
      </c>
      <c r="B32" s="653">
        <v>63.12</v>
      </c>
      <c r="C32" s="653">
        <v>62.56</v>
      </c>
      <c r="D32" s="653">
        <v>84.8</v>
      </c>
      <c r="E32" s="653">
        <v>84.81</v>
      </c>
      <c r="F32" s="814">
        <v>224.93</v>
      </c>
      <c r="G32" s="653">
        <v>224.95</v>
      </c>
      <c r="H32" s="653">
        <v>67.81</v>
      </c>
      <c r="I32" s="653">
        <v>67.69</v>
      </c>
      <c r="J32" s="653">
        <v>13.1</v>
      </c>
      <c r="K32" s="653">
        <v>13.06</v>
      </c>
      <c r="L32" s="653">
        <v>13.48</v>
      </c>
      <c r="M32" s="653">
        <v>13.5</v>
      </c>
      <c r="N32" s="653">
        <v>100.25</v>
      </c>
      <c r="O32" s="653">
        <v>100.44</v>
      </c>
      <c r="P32" s="610" t="s">
        <v>606</v>
      </c>
      <c r="Q32" s="417">
        <v>10.92</v>
      </c>
      <c r="R32" s="417">
        <v>10.9</v>
      </c>
      <c r="S32" s="417">
        <v>1.1399999999999999</v>
      </c>
      <c r="T32" s="417">
        <v>1.1399999999999999</v>
      </c>
      <c r="U32" s="417">
        <v>0.01</v>
      </c>
      <c r="V32" s="417">
        <v>0.01</v>
      </c>
      <c r="W32" s="417">
        <v>0</v>
      </c>
      <c r="X32" s="417">
        <v>0</v>
      </c>
      <c r="Y32" s="417">
        <v>0.77</v>
      </c>
      <c r="Z32" s="417">
        <v>0.77</v>
      </c>
      <c r="AA32" s="417">
        <v>281.87</v>
      </c>
      <c r="AB32" s="417">
        <v>282.02999999999997</v>
      </c>
      <c r="AC32" s="417">
        <v>20.22</v>
      </c>
      <c r="AD32" s="417">
        <v>20.079999999999998</v>
      </c>
      <c r="AE32" s="610" t="s">
        <v>606</v>
      </c>
      <c r="AF32" s="417">
        <v>0.05</v>
      </c>
      <c r="AG32" s="417">
        <v>0.05</v>
      </c>
      <c r="AH32" s="417">
        <v>0.76</v>
      </c>
      <c r="AI32" s="417">
        <v>0.76</v>
      </c>
      <c r="AJ32" s="417">
        <v>59.34</v>
      </c>
      <c r="AK32" s="417">
        <v>58.94</v>
      </c>
      <c r="AL32" s="417">
        <v>9.69</v>
      </c>
      <c r="AM32" s="417">
        <v>9.6300000000000008</v>
      </c>
      <c r="AN32" s="417">
        <v>220.27</v>
      </c>
      <c r="AO32" s="417">
        <v>220.28</v>
      </c>
      <c r="AP32" s="417">
        <v>0.53</v>
      </c>
      <c r="AQ32" s="417">
        <v>0.52</v>
      </c>
      <c r="AR32" s="417">
        <v>1.7</v>
      </c>
      <c r="AS32" s="417">
        <v>1.68</v>
      </c>
      <c r="AT32" s="610" t="s">
        <v>606</v>
      </c>
      <c r="AU32" s="487">
        <v>23.12</v>
      </c>
      <c r="AV32" s="417">
        <v>23.29</v>
      </c>
      <c r="AW32" s="417">
        <v>1.1499999999999999</v>
      </c>
      <c r="AX32" s="417">
        <v>1.1499999999999999</v>
      </c>
      <c r="AY32" s="417">
        <v>22.61</v>
      </c>
      <c r="AZ32" s="417">
        <v>22.61</v>
      </c>
      <c r="BA32" s="417">
        <v>7.0000000000000007E-2</v>
      </c>
      <c r="BB32" s="417">
        <v>7.0000000000000007E-2</v>
      </c>
      <c r="BC32" s="417">
        <v>62.67</v>
      </c>
      <c r="BD32" s="417">
        <v>62.53</v>
      </c>
      <c r="BE32" s="417">
        <v>9.83</v>
      </c>
      <c r="BF32" s="417">
        <v>9.8800000000000008</v>
      </c>
      <c r="BG32" s="417">
        <v>0.43</v>
      </c>
      <c r="BH32" s="417">
        <v>0.43</v>
      </c>
      <c r="BI32" s="610" t="s">
        <v>606</v>
      </c>
      <c r="BJ32" s="653">
        <v>92.24</v>
      </c>
      <c r="BK32" s="653">
        <v>93.18</v>
      </c>
      <c r="BL32" s="814">
        <v>0.03</v>
      </c>
      <c r="BM32" s="814">
        <v>0.03</v>
      </c>
      <c r="BN32" s="653">
        <v>120.7</v>
      </c>
      <c r="BO32" s="653">
        <v>121.07</v>
      </c>
      <c r="BP32" s="653">
        <v>2.6</v>
      </c>
      <c r="BQ32" s="653">
        <v>2.58</v>
      </c>
      <c r="BR32" s="653">
        <v>23.09</v>
      </c>
      <c r="BS32" s="653">
        <v>23.09</v>
      </c>
      <c r="BT32" s="653">
        <v>84.8</v>
      </c>
      <c r="BU32" s="653">
        <v>84.81</v>
      </c>
      <c r="BV32" s="653">
        <v>117.2</v>
      </c>
      <c r="BW32" s="653">
        <v>117.88</v>
      </c>
    </row>
    <row r="33" spans="1:75" s="188" customFormat="1" ht="11.85" customHeight="1">
      <c r="A33" s="607" t="s">
        <v>607</v>
      </c>
      <c r="B33" s="654">
        <v>62.08</v>
      </c>
      <c r="C33" s="654">
        <v>62.17</v>
      </c>
      <c r="D33" s="654">
        <v>84.95</v>
      </c>
      <c r="E33" s="654">
        <v>85.2</v>
      </c>
      <c r="F33" s="842">
        <v>225.32</v>
      </c>
      <c r="G33" s="654">
        <v>225.99</v>
      </c>
      <c r="H33" s="654">
        <v>67.52</v>
      </c>
      <c r="I33" s="654">
        <v>67.599999999999994</v>
      </c>
      <c r="J33" s="654">
        <v>13.11</v>
      </c>
      <c r="K33" s="654">
        <v>13.17</v>
      </c>
      <c r="L33" s="654">
        <v>13.45</v>
      </c>
      <c r="M33" s="654">
        <v>13.52</v>
      </c>
      <c r="N33" s="654">
        <v>100.03</v>
      </c>
      <c r="O33" s="654">
        <v>100.51</v>
      </c>
      <c r="P33" s="607" t="s">
        <v>607</v>
      </c>
      <c r="Q33" s="401">
        <v>10.92</v>
      </c>
      <c r="R33" s="401">
        <v>10.94</v>
      </c>
      <c r="S33" s="401">
        <v>1.1499999999999999</v>
      </c>
      <c r="T33" s="401">
        <v>1.1599999999999999</v>
      </c>
      <c r="U33" s="401">
        <v>0.01</v>
      </c>
      <c r="V33" s="401">
        <v>0.01</v>
      </c>
      <c r="W33" s="401">
        <v>0</v>
      </c>
      <c r="X33" s="401">
        <v>0</v>
      </c>
      <c r="Y33" s="401">
        <v>0.77</v>
      </c>
      <c r="Z33" s="401">
        <v>0.78</v>
      </c>
      <c r="AA33" s="401">
        <v>282.44</v>
      </c>
      <c r="AB33" s="401">
        <v>283.24</v>
      </c>
      <c r="AC33" s="401">
        <v>20.13</v>
      </c>
      <c r="AD33" s="401">
        <v>20.5</v>
      </c>
      <c r="AE33" s="607" t="s">
        <v>607</v>
      </c>
      <c r="AF33" s="401">
        <v>0.05</v>
      </c>
      <c r="AG33" s="401">
        <v>0.05</v>
      </c>
      <c r="AH33" s="401">
        <v>0.76</v>
      </c>
      <c r="AI33" s="401">
        <v>0.76</v>
      </c>
      <c r="AJ33" s="401">
        <v>59.26</v>
      </c>
      <c r="AK33" s="401">
        <v>59.64</v>
      </c>
      <c r="AL33" s="401">
        <v>9.6</v>
      </c>
      <c r="AM33" s="401">
        <v>9.83</v>
      </c>
      <c r="AN33" s="401">
        <v>220.67</v>
      </c>
      <c r="AO33" s="401">
        <v>221.3</v>
      </c>
      <c r="AP33" s="401">
        <v>0.52</v>
      </c>
      <c r="AQ33" s="401">
        <v>0.51</v>
      </c>
      <c r="AR33" s="401">
        <v>1.69</v>
      </c>
      <c r="AS33" s="401">
        <v>1.71</v>
      </c>
      <c r="AT33" s="607" t="s">
        <v>607</v>
      </c>
      <c r="AU33" s="606">
        <v>23.14</v>
      </c>
      <c r="AV33" s="401">
        <v>23.06</v>
      </c>
      <c r="AW33" s="401">
        <v>1.1499999999999999</v>
      </c>
      <c r="AX33" s="401">
        <v>1.1599999999999999</v>
      </c>
      <c r="AY33" s="401">
        <v>22.65</v>
      </c>
      <c r="AZ33" s="401">
        <v>22.72</v>
      </c>
      <c r="BA33" s="401">
        <v>7.0000000000000007E-2</v>
      </c>
      <c r="BB33" s="401">
        <v>7.0000000000000007E-2</v>
      </c>
      <c r="BC33" s="401">
        <v>62.7</v>
      </c>
      <c r="BD33" s="401">
        <v>63.32</v>
      </c>
      <c r="BE33" s="401">
        <v>9.7899999999999991</v>
      </c>
      <c r="BF33" s="401">
        <v>9.89</v>
      </c>
      <c r="BG33" s="401">
        <v>0.43</v>
      </c>
      <c r="BH33" s="401">
        <v>0.43</v>
      </c>
      <c r="BI33" s="607" t="s">
        <v>607</v>
      </c>
      <c r="BJ33" s="654">
        <v>92.97</v>
      </c>
      <c r="BK33" s="654">
        <v>92.92</v>
      </c>
      <c r="BL33" s="842">
        <v>0.03</v>
      </c>
      <c r="BM33" s="842">
        <v>0.03</v>
      </c>
      <c r="BN33" s="654">
        <v>120.8</v>
      </c>
      <c r="BO33" s="654">
        <v>121.21</v>
      </c>
      <c r="BP33" s="654">
        <v>2.57</v>
      </c>
      <c r="BQ33" s="654">
        <v>2.63</v>
      </c>
      <c r="BR33" s="654">
        <v>23.13</v>
      </c>
      <c r="BS33" s="654">
        <v>23.2</v>
      </c>
      <c r="BT33" s="654">
        <v>84.95</v>
      </c>
      <c r="BU33" s="654">
        <v>85.2</v>
      </c>
      <c r="BV33" s="654">
        <v>117.32</v>
      </c>
      <c r="BW33" s="654">
        <v>117.24</v>
      </c>
    </row>
    <row r="34" spans="1:75" s="188" customFormat="1" ht="11.85" customHeight="1">
      <c r="A34" s="610" t="s">
        <v>601</v>
      </c>
      <c r="B34" s="653">
        <v>62.41</v>
      </c>
      <c r="C34" s="653">
        <v>61.37</v>
      </c>
      <c r="D34" s="653">
        <v>85.26</v>
      </c>
      <c r="E34" s="653">
        <v>85.5</v>
      </c>
      <c r="F34" s="814">
        <v>226.15</v>
      </c>
      <c r="G34" s="653">
        <v>226.79</v>
      </c>
      <c r="H34" s="653">
        <v>67.260000000000005</v>
      </c>
      <c r="I34" s="653">
        <v>67.03</v>
      </c>
      <c r="J34" s="653">
        <v>13.2</v>
      </c>
      <c r="K34" s="653">
        <v>13.18</v>
      </c>
      <c r="L34" s="653">
        <v>13.5</v>
      </c>
      <c r="M34" s="653">
        <v>13.33</v>
      </c>
      <c r="N34" s="653">
        <v>100.4</v>
      </c>
      <c r="O34" s="653">
        <v>99.15</v>
      </c>
      <c r="P34" s="610" t="s">
        <v>601</v>
      </c>
      <c r="Q34" s="417">
        <v>10.96</v>
      </c>
      <c r="R34" s="417">
        <v>10.98</v>
      </c>
      <c r="S34" s="417">
        <v>1.1599999999999999</v>
      </c>
      <c r="T34" s="417">
        <v>1.1499999999999999</v>
      </c>
      <c r="U34" s="417">
        <v>0.01</v>
      </c>
      <c r="V34" s="417">
        <v>0.01</v>
      </c>
      <c r="W34" s="417">
        <v>0</v>
      </c>
      <c r="X34" s="417">
        <v>0</v>
      </c>
      <c r="Y34" s="417">
        <v>0.77</v>
      </c>
      <c r="Z34" s="417">
        <v>0.76</v>
      </c>
      <c r="AA34" s="417">
        <v>283.38</v>
      </c>
      <c r="AB34" s="417">
        <v>283.44</v>
      </c>
      <c r="AC34" s="417">
        <v>20.47</v>
      </c>
      <c r="AD34" s="417">
        <v>20.420000000000002</v>
      </c>
      <c r="AE34" s="610" t="s">
        <v>601</v>
      </c>
      <c r="AF34" s="417">
        <v>0.05</v>
      </c>
      <c r="AG34" s="417">
        <v>0.05</v>
      </c>
      <c r="AH34" s="417">
        <v>0.77</v>
      </c>
      <c r="AI34" s="417">
        <v>0.76</v>
      </c>
      <c r="AJ34" s="417">
        <v>60.21</v>
      </c>
      <c r="AK34" s="417">
        <v>58.76</v>
      </c>
      <c r="AL34" s="417">
        <v>9.84</v>
      </c>
      <c r="AM34" s="417">
        <v>9.75</v>
      </c>
      <c r="AN34" s="417">
        <v>221.45</v>
      </c>
      <c r="AO34" s="417">
        <v>222.08</v>
      </c>
      <c r="AP34" s="417">
        <v>0.51</v>
      </c>
      <c r="AQ34" s="417">
        <v>0.5</v>
      </c>
      <c r="AR34" s="417">
        <v>1.7</v>
      </c>
      <c r="AS34" s="417">
        <v>1.68</v>
      </c>
      <c r="AT34" s="610" t="s">
        <v>601</v>
      </c>
      <c r="AU34" s="487">
        <v>23.32</v>
      </c>
      <c r="AV34" s="417">
        <v>23.3</v>
      </c>
      <c r="AW34" s="417">
        <v>1.17</v>
      </c>
      <c r="AX34" s="417">
        <v>1.18</v>
      </c>
      <c r="AY34" s="417">
        <v>22.73</v>
      </c>
      <c r="AZ34" s="417">
        <v>22.79</v>
      </c>
      <c r="BA34" s="417">
        <v>7.0000000000000007E-2</v>
      </c>
      <c r="BB34" s="417">
        <v>7.0000000000000007E-2</v>
      </c>
      <c r="BC34" s="417">
        <v>63.27</v>
      </c>
      <c r="BD34" s="417">
        <v>62.82</v>
      </c>
      <c r="BE34" s="417">
        <v>9.8699999999999992</v>
      </c>
      <c r="BF34" s="417">
        <v>9.7100000000000009</v>
      </c>
      <c r="BG34" s="417">
        <v>0.43</v>
      </c>
      <c r="BH34" s="417">
        <v>0.43</v>
      </c>
      <c r="BI34" s="610" t="s">
        <v>601</v>
      </c>
      <c r="BJ34" s="653">
        <v>92.46</v>
      </c>
      <c r="BK34" s="653">
        <v>91.45</v>
      </c>
      <c r="BL34" s="814">
        <v>0.03</v>
      </c>
      <c r="BM34" s="814">
        <v>0.03</v>
      </c>
      <c r="BN34" s="653">
        <v>121.23</v>
      </c>
      <c r="BO34" s="653">
        <v>120.87</v>
      </c>
      <c r="BP34" s="653">
        <v>2.58</v>
      </c>
      <c r="BQ34" s="653">
        <v>2.52</v>
      </c>
      <c r="BR34" s="653">
        <v>23.21</v>
      </c>
      <c r="BS34" s="653">
        <v>23.28</v>
      </c>
      <c r="BT34" s="653">
        <v>85.26</v>
      </c>
      <c r="BU34" s="653">
        <v>85.5</v>
      </c>
      <c r="BV34" s="653">
        <v>117.16</v>
      </c>
      <c r="BW34" s="653">
        <v>114.8</v>
      </c>
    </row>
    <row r="35" spans="1:75" s="188" customFormat="1" ht="11.85" customHeight="1">
      <c r="A35" s="607" t="s">
        <v>608</v>
      </c>
      <c r="B35" s="654">
        <v>63.25</v>
      </c>
      <c r="C35" s="654">
        <v>64.44</v>
      </c>
      <c r="D35" s="654">
        <v>85.61</v>
      </c>
      <c r="E35" s="654">
        <v>85.68</v>
      </c>
      <c r="F35" s="842">
        <v>227.09</v>
      </c>
      <c r="G35" s="654">
        <v>227.25</v>
      </c>
      <c r="H35" s="654">
        <v>68.72</v>
      </c>
      <c r="I35" s="654">
        <v>69.150000000000006</v>
      </c>
      <c r="J35" s="654">
        <v>13.3</v>
      </c>
      <c r="K35" s="654">
        <v>13.41</v>
      </c>
      <c r="L35" s="654">
        <v>13.35</v>
      </c>
      <c r="M35" s="654">
        <v>13.32</v>
      </c>
      <c r="N35" s="654">
        <v>99.29</v>
      </c>
      <c r="O35" s="654">
        <v>99.07</v>
      </c>
      <c r="P35" s="607" t="s">
        <v>608</v>
      </c>
      <c r="Q35" s="401">
        <v>11</v>
      </c>
      <c r="R35" s="401">
        <v>11.01</v>
      </c>
      <c r="S35" s="401">
        <v>1.1399999999999999</v>
      </c>
      <c r="T35" s="401">
        <v>1.1399999999999999</v>
      </c>
      <c r="U35" s="401">
        <v>0.01</v>
      </c>
      <c r="V35" s="401">
        <v>0.01</v>
      </c>
      <c r="W35" s="401">
        <v>0</v>
      </c>
      <c r="X35" s="401">
        <v>0</v>
      </c>
      <c r="Y35" s="401">
        <v>0.76</v>
      </c>
      <c r="Z35" s="401">
        <v>0.75</v>
      </c>
      <c r="AA35" s="401">
        <v>283.87</v>
      </c>
      <c r="AB35" s="401">
        <v>283.97000000000003</v>
      </c>
      <c r="AC35" s="401">
        <v>20.56</v>
      </c>
      <c r="AD35" s="401">
        <v>20.69</v>
      </c>
      <c r="AE35" s="607" t="s">
        <v>608</v>
      </c>
      <c r="AF35" s="401">
        <v>0.05</v>
      </c>
      <c r="AG35" s="401">
        <v>0.05</v>
      </c>
      <c r="AH35" s="401">
        <v>0.76</v>
      </c>
      <c r="AI35" s="401">
        <v>0.77</v>
      </c>
      <c r="AJ35" s="401">
        <v>60.28</v>
      </c>
      <c r="AK35" s="401">
        <v>61.39</v>
      </c>
      <c r="AL35" s="401">
        <v>10.1</v>
      </c>
      <c r="AM35" s="401">
        <v>10.15</v>
      </c>
      <c r="AN35" s="401">
        <v>222.37</v>
      </c>
      <c r="AO35" s="401">
        <v>222.53</v>
      </c>
      <c r="AP35" s="401">
        <v>0.5</v>
      </c>
      <c r="AQ35" s="401">
        <v>0.5</v>
      </c>
      <c r="AR35" s="401">
        <v>1.69</v>
      </c>
      <c r="AS35" s="401">
        <v>1.7</v>
      </c>
      <c r="AT35" s="607" t="s">
        <v>608</v>
      </c>
      <c r="AU35" s="606">
        <v>23.42</v>
      </c>
      <c r="AV35" s="401">
        <v>23.41</v>
      </c>
      <c r="AW35" s="401">
        <v>1.2</v>
      </c>
      <c r="AX35" s="401">
        <v>1.21</v>
      </c>
      <c r="AY35" s="401">
        <v>22.83</v>
      </c>
      <c r="AZ35" s="401">
        <v>22.84</v>
      </c>
      <c r="BA35" s="401">
        <v>7.0000000000000007E-2</v>
      </c>
      <c r="BB35" s="401">
        <v>7.0000000000000007E-2</v>
      </c>
      <c r="BC35" s="401">
        <v>63.32</v>
      </c>
      <c r="BD35" s="401">
        <v>63.51</v>
      </c>
      <c r="BE35" s="401">
        <v>9.8699999999999992</v>
      </c>
      <c r="BF35" s="401">
        <v>9.9700000000000006</v>
      </c>
      <c r="BG35" s="401">
        <v>0.43</v>
      </c>
      <c r="BH35" s="401">
        <v>0.43</v>
      </c>
      <c r="BI35" s="607" t="s">
        <v>608</v>
      </c>
      <c r="BJ35" s="654">
        <v>92.66</v>
      </c>
      <c r="BK35" s="654">
        <v>93.55</v>
      </c>
      <c r="BL35" s="842">
        <v>0.03</v>
      </c>
      <c r="BM35" s="842">
        <v>0.03</v>
      </c>
      <c r="BN35" s="654">
        <v>120.92</v>
      </c>
      <c r="BO35" s="654">
        <v>121.27</v>
      </c>
      <c r="BP35" s="654">
        <v>2.56</v>
      </c>
      <c r="BQ35" s="654">
        <v>2.57</v>
      </c>
      <c r="BR35" s="654">
        <v>23.31</v>
      </c>
      <c r="BS35" s="654">
        <v>23.33</v>
      </c>
      <c r="BT35" s="654">
        <v>85.61</v>
      </c>
      <c r="BU35" s="654">
        <v>85.68</v>
      </c>
      <c r="BV35" s="654">
        <v>117.06</v>
      </c>
      <c r="BW35" s="654">
        <v>117.31</v>
      </c>
    </row>
    <row r="36" spans="1:75" s="188" customFormat="1" ht="11.85" customHeight="1">
      <c r="A36" s="610" t="s">
        <v>609</v>
      </c>
      <c r="B36" s="653">
        <v>62.74</v>
      </c>
      <c r="C36" s="653">
        <v>61.29</v>
      </c>
      <c r="D36" s="653">
        <v>85.78</v>
      </c>
      <c r="E36" s="653">
        <v>85.8</v>
      </c>
      <c r="F36" s="814">
        <v>227.51</v>
      </c>
      <c r="G36" s="653">
        <v>227.56</v>
      </c>
      <c r="H36" s="653">
        <v>68.33</v>
      </c>
      <c r="I36" s="653">
        <v>67.34</v>
      </c>
      <c r="J36" s="653">
        <v>13.41</v>
      </c>
      <c r="K36" s="653">
        <v>13.45</v>
      </c>
      <c r="L36" s="653">
        <v>13.17</v>
      </c>
      <c r="M36" s="653">
        <v>13.03</v>
      </c>
      <c r="N36" s="653">
        <v>97.94</v>
      </c>
      <c r="O36" s="653">
        <v>96.89</v>
      </c>
      <c r="P36" s="610" t="s">
        <v>609</v>
      </c>
      <c r="Q36" s="417">
        <v>11.01</v>
      </c>
      <c r="R36" s="417">
        <v>11</v>
      </c>
      <c r="S36" s="417">
        <v>1.1499999999999999</v>
      </c>
      <c r="T36" s="417">
        <v>1.1399999999999999</v>
      </c>
      <c r="U36" s="417">
        <v>0.01</v>
      </c>
      <c r="V36" s="417">
        <v>0.01</v>
      </c>
      <c r="W36" s="417">
        <v>0</v>
      </c>
      <c r="X36" s="417">
        <v>0</v>
      </c>
      <c r="Y36" s="417">
        <v>0.75</v>
      </c>
      <c r="Z36" s="417">
        <v>0.76</v>
      </c>
      <c r="AA36" s="417">
        <v>283.75</v>
      </c>
      <c r="AB36" s="417">
        <v>283.45</v>
      </c>
      <c r="AC36" s="417">
        <v>20.53</v>
      </c>
      <c r="AD36" s="417">
        <v>20.3</v>
      </c>
      <c r="AE36" s="610" t="s">
        <v>609</v>
      </c>
      <c r="AF36" s="417">
        <v>0.05</v>
      </c>
      <c r="AG36" s="417">
        <v>0.05</v>
      </c>
      <c r="AH36" s="417">
        <v>0.76</v>
      </c>
      <c r="AI36" s="417">
        <v>0.76</v>
      </c>
      <c r="AJ36" s="417">
        <v>60.28</v>
      </c>
      <c r="AK36" s="417">
        <v>58.56</v>
      </c>
      <c r="AL36" s="417">
        <v>9.83</v>
      </c>
      <c r="AM36" s="417">
        <v>9.51</v>
      </c>
      <c r="AN36" s="417">
        <v>222.79</v>
      </c>
      <c r="AO36" s="417">
        <v>222.86</v>
      </c>
      <c r="AP36" s="417">
        <v>0.49</v>
      </c>
      <c r="AQ36" s="417">
        <v>0.49</v>
      </c>
      <c r="AR36" s="417">
        <v>1.7</v>
      </c>
      <c r="AS36" s="417">
        <v>1.71</v>
      </c>
      <c r="AT36" s="610" t="s">
        <v>609</v>
      </c>
      <c r="AU36" s="487">
        <v>23.49</v>
      </c>
      <c r="AV36" s="417">
        <v>23.38</v>
      </c>
      <c r="AW36" s="417">
        <v>1.18</v>
      </c>
      <c r="AX36" s="417">
        <v>1.1499999999999999</v>
      </c>
      <c r="AY36" s="417">
        <v>22.87</v>
      </c>
      <c r="AZ36" s="417">
        <v>22.87</v>
      </c>
      <c r="BA36" s="417">
        <v>7.0000000000000007E-2</v>
      </c>
      <c r="BB36" s="417">
        <v>7.0000000000000007E-2</v>
      </c>
      <c r="BC36" s="417">
        <v>63.23</v>
      </c>
      <c r="BD36" s="417">
        <v>62.67</v>
      </c>
      <c r="BE36" s="417">
        <v>9.75</v>
      </c>
      <c r="BF36" s="417">
        <v>9.4700000000000006</v>
      </c>
      <c r="BG36" s="417">
        <v>0.42</v>
      </c>
      <c r="BH36" s="417">
        <v>0.42</v>
      </c>
      <c r="BI36" s="610" t="s">
        <v>609</v>
      </c>
      <c r="BJ36" s="653">
        <v>93.06</v>
      </c>
      <c r="BK36" s="653">
        <v>92.94</v>
      </c>
      <c r="BL36" s="814">
        <v>0.03</v>
      </c>
      <c r="BM36" s="814">
        <v>0.03</v>
      </c>
      <c r="BN36" s="653">
        <v>120.38</v>
      </c>
      <c r="BO36" s="653">
        <v>119.95</v>
      </c>
      <c r="BP36" s="653">
        <v>2.59</v>
      </c>
      <c r="BQ36" s="653">
        <v>2.5499999999999998</v>
      </c>
      <c r="BR36" s="653">
        <v>23.35</v>
      </c>
      <c r="BS36" s="653">
        <v>23.36</v>
      </c>
      <c r="BT36" s="653">
        <v>85.78</v>
      </c>
      <c r="BU36" s="653">
        <v>85.8</v>
      </c>
      <c r="BV36" s="653">
        <v>115.55</v>
      </c>
      <c r="BW36" s="653">
        <v>114.24</v>
      </c>
    </row>
    <row r="37" spans="1:75" s="188" customFormat="1" ht="11.85" customHeight="1">
      <c r="A37" s="607" t="s">
        <v>602</v>
      </c>
      <c r="B37" s="654">
        <v>61.328725721822998</v>
      </c>
      <c r="C37" s="654">
        <v>62.196418816388501</v>
      </c>
      <c r="D37" s="654">
        <v>85.8</v>
      </c>
      <c r="E37" s="654">
        <v>85.8</v>
      </c>
      <c r="F37" s="654">
        <v>227.56832284082401</v>
      </c>
      <c r="G37" s="654">
        <v>227.55602705211501</v>
      </c>
      <c r="H37" s="654">
        <v>67.002243079860094</v>
      </c>
      <c r="I37" s="654">
        <v>67.083659108678603</v>
      </c>
      <c r="J37" s="654">
        <v>13.4711061456411</v>
      </c>
      <c r="K37" s="654">
        <v>13.474887709269099</v>
      </c>
      <c r="L37" s="654">
        <v>13.042506767065101</v>
      </c>
      <c r="M37" s="654">
        <v>13.0937392697722</v>
      </c>
      <c r="N37" s="654">
        <v>96.986569810415503</v>
      </c>
      <c r="O37" s="654">
        <v>97.382996976211402</v>
      </c>
      <c r="P37" s="607" t="s">
        <v>602</v>
      </c>
      <c r="Q37" s="401">
        <v>11.0018139881062</v>
      </c>
      <c r="R37" s="401">
        <v>11.0043029646208</v>
      </c>
      <c r="S37" s="401">
        <v>1.1379931534086101</v>
      </c>
      <c r="T37" s="401">
        <v>1.1505967547271001</v>
      </c>
      <c r="U37" s="401">
        <v>5.9892144427642199E-3</v>
      </c>
      <c r="V37" s="401">
        <v>6.0132459613834698E-3</v>
      </c>
      <c r="W37" s="401">
        <v>2.0428571428571401E-3</v>
      </c>
      <c r="X37" s="401">
        <v>2.0428571428571401E-3</v>
      </c>
      <c r="Y37" s="401">
        <v>0.75412890680837996</v>
      </c>
      <c r="Z37" s="401">
        <v>0.74637901787656002</v>
      </c>
      <c r="AA37" s="401">
        <v>283.37456888581801</v>
      </c>
      <c r="AB37" s="401">
        <v>283.54263053535999</v>
      </c>
      <c r="AC37" s="401">
        <v>20.373880112119</v>
      </c>
      <c r="AD37" s="401">
        <v>20.5730727730488</v>
      </c>
      <c r="AE37" s="607" t="s">
        <v>602</v>
      </c>
      <c r="AF37" s="401">
        <v>4.8188489008809003E-2</v>
      </c>
      <c r="AG37" s="401">
        <v>4.82564679415073E-2</v>
      </c>
      <c r="AH37" s="401">
        <v>0.75737068962959597</v>
      </c>
      <c r="AI37" s="401">
        <v>0.75821711167000405</v>
      </c>
      <c r="AJ37" s="401">
        <v>58.207033532336297</v>
      </c>
      <c r="AK37" s="401">
        <v>58.605689685967299</v>
      </c>
      <c r="AL37" s="401">
        <v>9.5566554256479002</v>
      </c>
      <c r="AM37" s="401">
        <v>9.7727661028532395</v>
      </c>
      <c r="AN37" s="401">
        <v>222.85607105240899</v>
      </c>
      <c r="AO37" s="401">
        <v>222.857142857143</v>
      </c>
      <c r="AP37" s="401">
        <v>0.48288178464144499</v>
      </c>
      <c r="AQ37" s="401">
        <v>0.48047039059218799</v>
      </c>
      <c r="AR37" s="401">
        <v>1.70489648346727</v>
      </c>
      <c r="AS37" s="401">
        <v>1.6810344827586201</v>
      </c>
      <c r="AT37" s="607" t="s">
        <v>602</v>
      </c>
      <c r="AU37" s="606">
        <v>23.5156918515823</v>
      </c>
      <c r="AV37" s="401">
        <v>23.564954682779501</v>
      </c>
      <c r="AW37" s="401">
        <v>1.16234117904117</v>
      </c>
      <c r="AX37" s="401">
        <v>1.1610661239336599</v>
      </c>
      <c r="AY37" s="401">
        <v>22.863610342125501</v>
      </c>
      <c r="AZ37" s="401">
        <v>22.855316258440901</v>
      </c>
      <c r="BA37" s="401">
        <v>7.2496641085004504E-2</v>
      </c>
      <c r="BB37" s="401">
        <v>7.2381852233039196E-2</v>
      </c>
      <c r="BC37" s="401">
        <v>62.909687516429003</v>
      </c>
      <c r="BD37" s="401">
        <v>63.445114060709102</v>
      </c>
      <c r="BE37" s="401">
        <v>9.4340687290291392</v>
      </c>
      <c r="BF37" s="401">
        <v>9.4974540624308208</v>
      </c>
      <c r="BG37" s="401">
        <v>0.423889246353708</v>
      </c>
      <c r="BH37" s="401">
        <v>0.42292051756007398</v>
      </c>
      <c r="BI37" s="607" t="s">
        <v>602</v>
      </c>
      <c r="BJ37" s="654">
        <v>93.183793440578299</v>
      </c>
      <c r="BK37" s="654">
        <v>93.806374022850306</v>
      </c>
      <c r="BL37" s="654">
        <v>3.4153786116203802E-2</v>
      </c>
      <c r="BM37" s="654">
        <v>3.4149253731343303E-2</v>
      </c>
      <c r="BN37" s="654">
        <v>119.97091966239999</v>
      </c>
      <c r="BO37" s="654">
        <v>120.08397480755799</v>
      </c>
      <c r="BP37" s="654">
        <v>2.5570487573448601</v>
      </c>
      <c r="BQ37" s="654">
        <v>2.5704014379868201</v>
      </c>
      <c r="BR37" s="654">
        <v>23.359227533976899</v>
      </c>
      <c r="BS37" s="654">
        <v>23.3593335239106</v>
      </c>
      <c r="BT37" s="654">
        <v>85.8</v>
      </c>
      <c r="BU37" s="654">
        <v>85.8</v>
      </c>
      <c r="BV37" s="654">
        <v>114.090957735914</v>
      </c>
      <c r="BW37" s="654">
        <v>115.727037455516</v>
      </c>
    </row>
    <row r="38" spans="1:75" s="188" customFormat="1" ht="11.85" customHeight="1">
      <c r="A38" s="610" t="s">
        <v>610</v>
      </c>
      <c r="B38" s="653">
        <v>61.753317276181598</v>
      </c>
      <c r="C38" s="653">
        <v>60.0881987691427</v>
      </c>
      <c r="D38" s="653">
        <v>85.953846153846101</v>
      </c>
      <c r="E38" s="653">
        <v>86</v>
      </c>
      <c r="F38" s="653">
        <v>227.990801339576</v>
      </c>
      <c r="G38" s="653">
        <v>228.08646068160701</v>
      </c>
      <c r="H38" s="653">
        <v>68.081787163064803</v>
      </c>
      <c r="I38" s="653">
        <v>67.379637246836694</v>
      </c>
      <c r="J38" s="653">
        <v>13.515027444808499</v>
      </c>
      <c r="K38" s="653">
        <v>13.4910425752204</v>
      </c>
      <c r="L38" s="653">
        <v>13.088637992906699</v>
      </c>
      <c r="M38" s="653">
        <v>12.8812899263819</v>
      </c>
      <c r="N38" s="653">
        <v>97.387050319347196</v>
      </c>
      <c r="O38" s="653">
        <v>95.846996913414102</v>
      </c>
      <c r="P38" s="610" t="s">
        <v>610</v>
      </c>
      <c r="Q38" s="417">
        <v>11.0315946968836</v>
      </c>
      <c r="R38" s="417">
        <v>11.036606885046</v>
      </c>
      <c r="S38" s="417">
        <v>1.1551676598526599</v>
      </c>
      <c r="T38" s="417">
        <v>1.1459592278366799</v>
      </c>
      <c r="U38" s="417">
        <v>5.9945641734144104E-3</v>
      </c>
      <c r="V38" s="417">
        <v>5.9726369886797699E-3</v>
      </c>
      <c r="W38" s="417">
        <v>2.0465201465201502E-3</v>
      </c>
      <c r="X38" s="417">
        <v>2.0476190476190499E-3</v>
      </c>
      <c r="Y38" s="417">
        <v>0.74841464820264503</v>
      </c>
      <c r="Z38" s="417">
        <v>0.74617153268838698</v>
      </c>
      <c r="AA38" s="417">
        <v>284.15247329758398</v>
      </c>
      <c r="AB38" s="417">
        <v>283.92208649719402</v>
      </c>
      <c r="AC38" s="417">
        <v>20.5216413403312</v>
      </c>
      <c r="AD38" s="417">
        <v>20.5299594175221</v>
      </c>
      <c r="AE38" s="610" t="s">
        <v>610</v>
      </c>
      <c r="AF38" s="417">
        <v>4.8342995587090098E-2</v>
      </c>
      <c r="AG38" s="417">
        <v>4.8368953880764898E-2</v>
      </c>
      <c r="AH38" s="417">
        <v>0.76006978200221598</v>
      </c>
      <c r="AI38" s="417">
        <v>0.75515171524809399</v>
      </c>
      <c r="AJ38" s="417">
        <v>58.050661585073698</v>
      </c>
      <c r="AK38" s="417">
        <v>56.209594736842099</v>
      </c>
      <c r="AL38" s="417">
        <v>9.7208371960653093</v>
      </c>
      <c r="AM38" s="417">
        <v>9.5678874994437297</v>
      </c>
      <c r="AN38" s="417">
        <v>223.25674325674299</v>
      </c>
      <c r="AO38" s="417">
        <v>223.376623376623</v>
      </c>
      <c r="AP38" s="417">
        <v>0.48715505068581999</v>
      </c>
      <c r="AQ38" s="417">
        <v>0.48656294200848599</v>
      </c>
      <c r="AR38" s="417">
        <v>1.6767712616480901</v>
      </c>
      <c r="AS38" s="417">
        <v>1.68034388432982</v>
      </c>
      <c r="AT38" s="610" t="s">
        <v>610</v>
      </c>
      <c r="AU38" s="487">
        <v>23.551012953537199</v>
      </c>
      <c r="AV38" s="417">
        <v>23.510114816839799</v>
      </c>
      <c r="AW38" s="417">
        <v>1.1241710751476299</v>
      </c>
      <c r="AX38" s="417">
        <v>1.10261216514566</v>
      </c>
      <c r="AY38" s="417">
        <v>22.9037594255764</v>
      </c>
      <c r="AZ38" s="417">
        <v>22.921719662037901</v>
      </c>
      <c r="BA38" s="417">
        <v>7.1885959982911599E-2</v>
      </c>
      <c r="BB38" s="417">
        <v>7.1034753340078902E-2</v>
      </c>
      <c r="BC38" s="417">
        <v>63.6538616442067</v>
      </c>
      <c r="BD38" s="417">
        <v>63.470976788811399</v>
      </c>
      <c r="BE38" s="417">
        <v>9.4086361979994297</v>
      </c>
      <c r="BF38" s="417">
        <v>9.1339234980802804</v>
      </c>
      <c r="BG38" s="417">
        <v>0.42461351331355901</v>
      </c>
      <c r="BH38" s="417">
        <v>0.424743795530312</v>
      </c>
      <c r="BI38" s="610" t="s">
        <v>610</v>
      </c>
      <c r="BJ38" s="653">
        <v>93.637183036430102</v>
      </c>
      <c r="BK38" s="653">
        <v>92.388677015630904</v>
      </c>
      <c r="BL38" s="653">
        <v>3.4216248426011897E-2</v>
      </c>
      <c r="BM38" s="653">
        <v>3.4228855721393003E-2</v>
      </c>
      <c r="BN38" s="653">
        <v>120.36604579191101</v>
      </c>
      <c r="BO38" s="653">
        <v>119.610570236439</v>
      </c>
      <c r="BP38" s="653">
        <v>2.5857703238708298</v>
      </c>
      <c r="BQ38" s="653">
        <v>2.5713858573777801</v>
      </c>
      <c r="BR38" s="653">
        <v>23.401304432980801</v>
      </c>
      <c r="BS38" s="653">
        <v>23.4137841848055</v>
      </c>
      <c r="BT38" s="653">
        <v>85.953846153846101</v>
      </c>
      <c r="BU38" s="653">
        <v>86</v>
      </c>
      <c r="BV38" s="653">
        <v>116.57339565952999</v>
      </c>
      <c r="BW38" s="653">
        <v>115.287298556563</v>
      </c>
    </row>
    <row r="39" spans="1:75" s="188" customFormat="1" ht="11.85" customHeight="1">
      <c r="A39" s="607" t="s">
        <v>611</v>
      </c>
      <c r="B39" s="654">
        <v>61.5919435954101</v>
      </c>
      <c r="C39" s="654">
        <v>62.2123952446779</v>
      </c>
      <c r="D39" s="654">
        <v>86</v>
      </c>
      <c r="E39" s="654">
        <v>86</v>
      </c>
      <c r="F39" s="654">
        <v>228.09906492899199</v>
      </c>
      <c r="G39" s="654">
        <v>228.11671087533199</v>
      </c>
      <c r="H39" s="654">
        <v>67.632467463752107</v>
      </c>
      <c r="I39" s="654">
        <v>67.676568955341295</v>
      </c>
      <c r="J39" s="654">
        <v>13.5398697330553</v>
      </c>
      <c r="K39" s="654">
        <v>13.602859764006199</v>
      </c>
      <c r="L39" s="654">
        <v>13.1116812389748</v>
      </c>
      <c r="M39" s="654">
        <v>13.0274409410054</v>
      </c>
      <c r="N39" s="654">
        <v>97.566280852092504</v>
      </c>
      <c r="O39" s="654">
        <v>96.913396947377706</v>
      </c>
      <c r="P39" s="607" t="s">
        <v>611</v>
      </c>
      <c r="Q39" s="401">
        <v>11.027888317854799</v>
      </c>
      <c r="R39" s="401">
        <v>11.0139916114366</v>
      </c>
      <c r="S39" s="401">
        <v>1.14869509190818</v>
      </c>
      <c r="T39" s="401">
        <v>1.14552114552115</v>
      </c>
      <c r="U39" s="401">
        <v>5.9921196826975597E-3</v>
      </c>
      <c r="V39" s="401">
        <v>5.9859400013920804E-3</v>
      </c>
      <c r="W39" s="401">
        <v>2.0476190476190499E-3</v>
      </c>
      <c r="X39" s="401">
        <v>2.0476190476190499E-3</v>
      </c>
      <c r="Y39" s="401">
        <v>0.74652504761614502</v>
      </c>
      <c r="Z39" s="401">
        <v>0.74410555916071797</v>
      </c>
      <c r="AA39" s="401">
        <v>284.33101932509101</v>
      </c>
      <c r="AB39" s="401">
        <v>283.64116094986798</v>
      </c>
      <c r="AC39" s="401">
        <v>20.534852532866601</v>
      </c>
      <c r="AD39" s="401">
        <v>20.464009518144</v>
      </c>
      <c r="AE39" s="607" t="s">
        <v>611</v>
      </c>
      <c r="AF39" s="401">
        <v>4.8367423748514202E-2</v>
      </c>
      <c r="AG39" s="401">
        <v>4.8364873604589E-2</v>
      </c>
      <c r="AH39" s="401">
        <v>0.76074260175237396</v>
      </c>
      <c r="AI39" s="401">
        <v>0.75705224980963703</v>
      </c>
      <c r="AJ39" s="401">
        <v>57.380807707941898</v>
      </c>
      <c r="AK39" s="401">
        <v>57.929594893111599</v>
      </c>
      <c r="AL39" s="401">
        <v>9.7001278227293106</v>
      </c>
      <c r="AM39" s="401">
        <v>9.7326905230755294</v>
      </c>
      <c r="AN39" s="401">
        <v>223.38025009151099</v>
      </c>
      <c r="AO39" s="401">
        <v>223.376623376623</v>
      </c>
      <c r="AP39" s="401">
        <v>0.48970361992714401</v>
      </c>
      <c r="AQ39" s="401">
        <v>0.48478015783540002</v>
      </c>
      <c r="AR39" s="401">
        <v>1.67674200825888</v>
      </c>
      <c r="AS39" s="401">
        <v>1.6725009723842901</v>
      </c>
      <c r="AT39" s="607" t="s">
        <v>611</v>
      </c>
      <c r="AU39" s="606">
        <v>23.543839153295</v>
      </c>
      <c r="AV39" s="401">
        <v>23.478023478023498</v>
      </c>
      <c r="AW39" s="401">
        <v>1.1013602575944199</v>
      </c>
      <c r="AX39" s="401">
        <v>0.81693913803421603</v>
      </c>
      <c r="AY39" s="401">
        <v>22.921961621430299</v>
      </c>
      <c r="AZ39" s="401">
        <v>22.922941599808102</v>
      </c>
      <c r="BA39" s="401">
        <v>7.1714335500047605E-2</v>
      </c>
      <c r="BB39" s="401">
        <v>7.1284404049948805E-2</v>
      </c>
      <c r="BC39" s="401">
        <v>63.8685063068014</v>
      </c>
      <c r="BD39" s="401">
        <v>63.531932183356098</v>
      </c>
      <c r="BE39" s="401">
        <v>9.2418982064033308</v>
      </c>
      <c r="BF39" s="401">
        <v>8.9776446209815894</v>
      </c>
      <c r="BG39" s="401">
        <v>0.42468979525670197</v>
      </c>
      <c r="BH39" s="401">
        <v>0.42574257425742601</v>
      </c>
      <c r="BI39" s="607" t="s">
        <v>611</v>
      </c>
      <c r="BJ39" s="654">
        <v>93.184477572593295</v>
      </c>
      <c r="BK39" s="654">
        <v>92.957898719126604</v>
      </c>
      <c r="BL39" s="654">
        <v>3.4232262933788199E-2</v>
      </c>
      <c r="BM39" s="654">
        <v>3.4228855721393003E-2</v>
      </c>
      <c r="BN39" s="654">
        <v>120.496944329174</v>
      </c>
      <c r="BO39" s="654">
        <v>119.910764082543</v>
      </c>
      <c r="BP39" s="654">
        <v>2.6328470382349298</v>
      </c>
      <c r="BQ39" s="654">
        <v>2.6247520219746701</v>
      </c>
      <c r="BR39" s="654">
        <v>23.413784185890201</v>
      </c>
      <c r="BS39" s="654">
        <v>23.41410291315</v>
      </c>
      <c r="BT39" s="654">
        <v>86</v>
      </c>
      <c r="BU39" s="654">
        <v>86</v>
      </c>
      <c r="BV39" s="654">
        <v>116.446863226703</v>
      </c>
      <c r="BW39" s="654">
        <v>115.300197434176</v>
      </c>
    </row>
    <row r="40" spans="1:75" s="188" customFormat="1" ht="11.85" customHeight="1">
      <c r="A40" s="610" t="s">
        <v>603</v>
      </c>
      <c r="B40" s="653">
        <v>63.326427803179897</v>
      </c>
      <c r="C40" s="653">
        <v>64.736198852197106</v>
      </c>
      <c r="D40" s="653">
        <v>86.059259259259207</v>
      </c>
      <c r="E40" s="653">
        <v>86.2</v>
      </c>
      <c r="F40" s="653">
        <v>228.26156005876999</v>
      </c>
      <c r="G40" s="653">
        <v>228.64721485411101</v>
      </c>
      <c r="H40" s="653">
        <v>67.945457343234494</v>
      </c>
      <c r="I40" s="653">
        <v>69.056679351091503</v>
      </c>
      <c r="J40" s="653">
        <v>13.560987028251599</v>
      </c>
      <c r="K40" s="653">
        <v>13.5786522163763</v>
      </c>
      <c r="L40" s="653">
        <v>12.738491422063801</v>
      </c>
      <c r="M40" s="653">
        <v>12.932651193494699</v>
      </c>
      <c r="N40" s="653">
        <v>94.772216151300796</v>
      </c>
      <c r="O40" s="653">
        <v>96.181956909840494</v>
      </c>
      <c r="P40" s="610" t="s">
        <v>603</v>
      </c>
      <c r="Q40" s="417">
        <v>11.000719262346401</v>
      </c>
      <c r="R40" s="417">
        <v>11.012807818838001</v>
      </c>
      <c r="S40" s="417">
        <v>1.12876149190102</v>
      </c>
      <c r="T40" s="417">
        <v>1.13685820925049</v>
      </c>
      <c r="U40" s="417">
        <v>5.9970902913321E-3</v>
      </c>
      <c r="V40" s="417">
        <v>6.0038307504788396E-3</v>
      </c>
      <c r="W40" s="417">
        <v>2.04902998236332E-3</v>
      </c>
      <c r="X40" s="417">
        <v>0</v>
      </c>
      <c r="Y40" s="417">
        <v>0.72774637370621997</v>
      </c>
      <c r="Z40" s="417">
        <v>0.70763042318269498</v>
      </c>
      <c r="AA40" s="417">
        <v>283.22280840298902</v>
      </c>
      <c r="AB40" s="417">
        <v>283.59927619674301</v>
      </c>
      <c r="AC40" s="417">
        <v>20.489801482291998</v>
      </c>
      <c r="AD40" s="417">
        <v>20.5018432631704</v>
      </c>
      <c r="AE40" s="610" t="s">
        <v>603</v>
      </c>
      <c r="AF40" s="417">
        <v>4.8397846623082399E-2</v>
      </c>
      <c r="AG40" s="417">
        <v>4.8477350054832301E-2</v>
      </c>
      <c r="AH40" s="417">
        <v>0.73070994954216995</v>
      </c>
      <c r="AI40" s="417">
        <v>0.749995649677206</v>
      </c>
      <c r="AJ40" s="417">
        <v>59.0206661119988</v>
      </c>
      <c r="AK40" s="417">
        <v>60.1460422787531</v>
      </c>
      <c r="AL40" s="417">
        <v>9.7343538659333699</v>
      </c>
      <c r="AM40" s="417">
        <v>10.0642735801143</v>
      </c>
      <c r="AN40" s="417">
        <v>223.52730768549401</v>
      </c>
      <c r="AO40" s="417">
        <v>223.89610389610399</v>
      </c>
      <c r="AP40" s="417">
        <v>0.47809907375098398</v>
      </c>
      <c r="AQ40" s="417">
        <v>0.471811713191023</v>
      </c>
      <c r="AR40" s="417">
        <v>1.6514871715639401</v>
      </c>
      <c r="AS40" s="417">
        <v>1.65960723912206</v>
      </c>
      <c r="AT40" s="610" t="s">
        <v>603</v>
      </c>
      <c r="AU40" s="487">
        <v>23.522491782241001</v>
      </c>
      <c r="AV40" s="417">
        <v>23.5326235326235</v>
      </c>
      <c r="AW40" s="417">
        <v>0.78904969893584997</v>
      </c>
      <c r="AX40" s="417">
        <v>1.03233532934132</v>
      </c>
      <c r="AY40" s="417">
        <v>22.939066029073899</v>
      </c>
      <c r="AZ40" s="417">
        <v>22.978394444666598</v>
      </c>
      <c r="BA40" s="417">
        <v>7.0386738013596503E-2</v>
      </c>
      <c r="BB40" s="417">
        <v>7.1213479340242594E-2</v>
      </c>
      <c r="BC40" s="417">
        <v>63.307640659375899</v>
      </c>
      <c r="BD40" s="417">
        <v>63.7338262476895</v>
      </c>
      <c r="BE40" s="417">
        <v>8.9679871816432701</v>
      </c>
      <c r="BF40" s="417">
        <v>9.3094082261905395</v>
      </c>
      <c r="BG40" s="417">
        <v>0.347580720295878</v>
      </c>
      <c r="BH40" s="417">
        <v>0.294700854700855</v>
      </c>
      <c r="BI40" s="610" t="s">
        <v>603</v>
      </c>
      <c r="BJ40" s="653">
        <v>92.614800153014698</v>
      </c>
      <c r="BK40" s="653">
        <v>93.360771146972795</v>
      </c>
      <c r="BL40" s="653">
        <v>3.42559784233359E-2</v>
      </c>
      <c r="BM40" s="653">
        <v>3.4308457711442801E-2</v>
      </c>
      <c r="BN40" s="653">
        <v>119.001519873413</v>
      </c>
      <c r="BO40" s="653">
        <v>119.241942177341</v>
      </c>
      <c r="BP40" s="653">
        <v>2.5880483808486101</v>
      </c>
      <c r="BQ40" s="653">
        <v>2.5831585256218199</v>
      </c>
      <c r="BR40" s="653">
        <v>23.429917714281</v>
      </c>
      <c r="BS40" s="653">
        <v>23.468234845700401</v>
      </c>
      <c r="BT40" s="653">
        <v>86.059259259259207</v>
      </c>
      <c r="BU40" s="653">
        <v>86.2</v>
      </c>
      <c r="BV40" s="653">
        <v>113.36615901181101</v>
      </c>
      <c r="BW40" s="653">
        <v>113.20214852313001</v>
      </c>
    </row>
    <row r="41" spans="1:75" s="188" customFormat="1" ht="11.85" customHeight="1">
      <c r="A41" s="607" t="s">
        <v>612</v>
      </c>
      <c r="B41" s="654">
        <v>63.747679457001198</v>
      </c>
      <c r="C41" s="654">
        <v>61.612913787007201</v>
      </c>
      <c r="D41" s="654">
        <v>86.229799999999997</v>
      </c>
      <c r="E41" s="654">
        <v>86.45</v>
      </c>
      <c r="F41" s="654">
        <v>228.69592988662001</v>
      </c>
      <c r="G41" s="654">
        <v>229.279936347964</v>
      </c>
      <c r="H41" s="654">
        <v>68.358278977131107</v>
      </c>
      <c r="I41" s="654">
        <v>67.436327469870093</v>
      </c>
      <c r="J41" s="654">
        <v>13.449816027980001</v>
      </c>
      <c r="K41" s="654">
        <v>13.1727311513378</v>
      </c>
      <c r="L41" s="654">
        <v>12.5664969728528</v>
      </c>
      <c r="M41" s="654">
        <v>12.265020926438201</v>
      </c>
      <c r="N41" s="654">
        <v>93.472504144631202</v>
      </c>
      <c r="O41" s="654">
        <v>91.265261724448195</v>
      </c>
      <c r="P41" s="607" t="s">
        <v>612</v>
      </c>
      <c r="Q41" s="401">
        <v>10.9983529209065</v>
      </c>
      <c r="R41" s="401">
        <v>11.0177213899279</v>
      </c>
      <c r="S41" s="401">
        <v>1.13212167182968</v>
      </c>
      <c r="T41" s="401">
        <v>1.12811144096826</v>
      </c>
      <c r="U41" s="401">
        <v>5.9987074056670796E-3</v>
      </c>
      <c r="V41" s="401">
        <v>5.9733978234582799E-3</v>
      </c>
      <c r="W41" s="401">
        <v>2.0530904761904799E-3</v>
      </c>
      <c r="X41" s="401">
        <v>2.05833333333333E-3</v>
      </c>
      <c r="Y41" s="401">
        <v>0.685711144934259</v>
      </c>
      <c r="Z41" s="401">
        <v>0.67310312609491196</v>
      </c>
      <c r="AA41" s="401">
        <v>282.647260610307</v>
      </c>
      <c r="AB41" s="401">
        <v>282.23963434541298</v>
      </c>
      <c r="AC41" s="401">
        <v>20.236067016672799</v>
      </c>
      <c r="AD41" s="401">
        <v>19.823434991974299</v>
      </c>
      <c r="AE41" s="607" t="s">
        <v>612</v>
      </c>
      <c r="AF41" s="401">
        <v>4.7110682049919597E-2</v>
      </c>
      <c r="AG41" s="401">
        <v>4.66918714555766E-2</v>
      </c>
      <c r="AH41" s="401">
        <v>0.74496028541568304</v>
      </c>
      <c r="AI41" s="401">
        <v>0.73868874843311705</v>
      </c>
      <c r="AJ41" s="401">
        <v>58.580863415125201</v>
      </c>
      <c r="AK41" s="401">
        <v>56.590164717384702</v>
      </c>
      <c r="AL41" s="401">
        <v>9.7336620199139094</v>
      </c>
      <c r="AM41" s="401">
        <v>9.2672991370531204</v>
      </c>
      <c r="AN41" s="401">
        <v>223.97118090426801</v>
      </c>
      <c r="AO41" s="401">
        <v>224.54545454545499</v>
      </c>
      <c r="AP41" s="401">
        <v>0.46799161824928898</v>
      </c>
      <c r="AQ41" s="401">
        <v>0.466918714555766</v>
      </c>
      <c r="AR41" s="401">
        <v>1.6594435943172501</v>
      </c>
      <c r="AS41" s="401">
        <v>1.65867229470453</v>
      </c>
      <c r="AT41" s="607" t="s">
        <v>612</v>
      </c>
      <c r="AU41" s="606">
        <v>23.603261749798801</v>
      </c>
      <c r="AV41" s="401">
        <v>23.646708060942601</v>
      </c>
      <c r="AW41" s="401">
        <v>1.0608762234873601</v>
      </c>
      <c r="AX41" s="401">
        <v>1.1682432432432399</v>
      </c>
      <c r="AY41" s="401">
        <v>22.991044969425001</v>
      </c>
      <c r="AZ41" s="401">
        <v>23.0484163378479</v>
      </c>
      <c r="BA41" s="401">
        <v>6.9899289836336406E-2</v>
      </c>
      <c r="BB41" s="401">
        <v>6.8027746192374103E-2</v>
      </c>
      <c r="BC41" s="401">
        <v>63.191861234651803</v>
      </c>
      <c r="BD41" s="401">
        <v>62.579174056245201</v>
      </c>
      <c r="BE41" s="401">
        <v>9.6466978368586993</v>
      </c>
      <c r="BF41" s="401">
        <v>8.7577117502254005</v>
      </c>
      <c r="BG41" s="401">
        <v>0.26878003343096302</v>
      </c>
      <c r="BH41" s="401">
        <v>0.243524556683897</v>
      </c>
      <c r="BI41" s="607" t="s">
        <v>612</v>
      </c>
      <c r="BJ41" s="654">
        <v>91.5530357411522</v>
      </c>
      <c r="BK41" s="654">
        <v>89.206480239397393</v>
      </c>
      <c r="BL41" s="654">
        <v>3.4324143360442497E-2</v>
      </c>
      <c r="BM41" s="654">
        <v>3.4407960199005001E-2</v>
      </c>
      <c r="BN41" s="654">
        <v>117.87077033838401</v>
      </c>
      <c r="BO41" s="654">
        <v>115.993559640413</v>
      </c>
      <c r="BP41" s="654">
        <v>2.55589385237435</v>
      </c>
      <c r="BQ41" s="654">
        <v>2.5097982290608201</v>
      </c>
      <c r="BR41" s="654">
        <v>23.4763352157388</v>
      </c>
      <c r="BS41" s="654">
        <v>23.536298171819102</v>
      </c>
      <c r="BT41" s="654">
        <v>86.229799999999997</v>
      </c>
      <c r="BU41" s="654">
        <v>86.45</v>
      </c>
      <c r="BV41" s="654">
        <v>111.80295124302</v>
      </c>
      <c r="BW41" s="654">
        <v>108.494747244622</v>
      </c>
    </row>
    <row r="42" spans="1:75" s="188" customFormat="1" ht="11.85" customHeight="1">
      <c r="A42" s="610" t="s">
        <v>613</v>
      </c>
      <c r="B42" s="653">
        <v>61.505405578625201</v>
      </c>
      <c r="C42" s="653">
        <v>64.0621950541817</v>
      </c>
      <c r="D42" s="653">
        <v>87.182692307692307</v>
      </c>
      <c r="E42" s="653">
        <v>89</v>
      </c>
      <c r="F42" s="653">
        <v>231.240878775163</v>
      </c>
      <c r="G42" s="653">
        <v>236.074270557029</v>
      </c>
      <c r="H42" s="653">
        <v>67.828916360170894</v>
      </c>
      <c r="I42" s="653">
        <v>70.325155070917802</v>
      </c>
      <c r="J42" s="653">
        <v>13.0266275714533</v>
      </c>
      <c r="K42" s="653">
        <v>13.361958953263199</v>
      </c>
      <c r="L42" s="653">
        <v>12.4001093453547</v>
      </c>
      <c r="M42" s="653">
        <v>12.894439454087101</v>
      </c>
      <c r="N42" s="653">
        <v>92.246324203843002</v>
      </c>
      <c r="O42" s="653">
        <v>95.933096697281698</v>
      </c>
      <c r="P42" s="610" t="s">
        <v>613</v>
      </c>
      <c r="Q42" s="417">
        <v>11.107553456878099</v>
      </c>
      <c r="R42" s="417">
        <v>11.3395297280424</v>
      </c>
      <c r="S42" s="417">
        <v>1.1277349927958999</v>
      </c>
      <c r="T42" s="417">
        <v>1.1475919266263199</v>
      </c>
      <c r="U42" s="417">
        <v>5.9771197384313E-3</v>
      </c>
      <c r="V42" s="417">
        <v>6.0969344065764696E-3</v>
      </c>
      <c r="W42" s="417">
        <v>2.0757783882783898E-3</v>
      </c>
      <c r="X42" s="417">
        <v>2.1190476190476198E-3</v>
      </c>
      <c r="Y42" s="417">
        <v>0.67661428429993398</v>
      </c>
      <c r="Z42" s="417">
        <v>0.69768353388468596</v>
      </c>
      <c r="AA42" s="417">
        <v>284.46479544701998</v>
      </c>
      <c r="AB42" s="417">
        <v>290.802156510374</v>
      </c>
      <c r="AC42" s="417">
        <v>19.901510967173401</v>
      </c>
      <c r="AD42" s="417">
        <v>20.340532510570199</v>
      </c>
      <c r="AE42" s="610" t="s">
        <v>613</v>
      </c>
      <c r="AF42" s="417">
        <v>4.7087600490247003E-2</v>
      </c>
      <c r="AG42" s="417">
        <v>4.8069133135295698E-2</v>
      </c>
      <c r="AH42" s="417">
        <v>0.73964969290252103</v>
      </c>
      <c r="AI42" s="417">
        <v>0.75817401030605502</v>
      </c>
      <c r="AJ42" s="417">
        <v>55.971638167752999</v>
      </c>
      <c r="AK42" s="417">
        <v>58.3483945698597</v>
      </c>
      <c r="AL42" s="417">
        <v>9.0978297115945104</v>
      </c>
      <c r="AM42" s="417">
        <v>9.4566164438871994</v>
      </c>
      <c r="AN42" s="417">
        <v>226.44742674544</v>
      </c>
      <c r="AO42" s="417">
        <v>231.16883116883099</v>
      </c>
      <c r="AP42" s="417">
        <v>0.45079479807870099</v>
      </c>
      <c r="AQ42" s="417">
        <v>0.44779874213836501</v>
      </c>
      <c r="AR42" s="417">
        <v>1.6655409398236201</v>
      </c>
      <c r="AS42" s="417">
        <v>1.6976633285646201</v>
      </c>
      <c r="AT42" s="610" t="s">
        <v>613</v>
      </c>
      <c r="AU42" s="487">
        <v>23.852227183663601</v>
      </c>
      <c r="AV42" s="417">
        <v>24.378552352256399</v>
      </c>
      <c r="AW42" s="417">
        <v>1.3371003581959</v>
      </c>
      <c r="AX42" s="417">
        <v>1.44421906693712</v>
      </c>
      <c r="AY42" s="417">
        <v>23.242022266921801</v>
      </c>
      <c r="AZ42" s="417">
        <v>23.727638700045301</v>
      </c>
      <c r="BA42" s="417">
        <v>6.8718485833909201E-2</v>
      </c>
      <c r="BB42" s="417">
        <v>7.1940992219864594E-2</v>
      </c>
      <c r="BC42" s="417">
        <v>63.083440928087903</v>
      </c>
      <c r="BD42" s="417">
        <v>65.103690428294499</v>
      </c>
      <c r="BE42" s="417">
        <v>8.7901377327767705</v>
      </c>
      <c r="BF42" s="417">
        <v>9.0994136501428802</v>
      </c>
      <c r="BG42" s="417">
        <v>0.241755569285422</v>
      </c>
      <c r="BH42" s="417">
        <v>0.24722222222222201</v>
      </c>
      <c r="BI42" s="610" t="s">
        <v>613</v>
      </c>
      <c r="BJ42" s="653">
        <v>89.099981332472495</v>
      </c>
      <c r="BK42" s="653">
        <v>92.950391644908606</v>
      </c>
      <c r="BL42" s="653">
        <v>3.4705982636778598E-2</v>
      </c>
      <c r="BM42" s="653">
        <v>3.5436989846705201E-2</v>
      </c>
      <c r="BN42" s="653">
        <v>117.012589192661</v>
      </c>
      <c r="BO42" s="653">
        <v>120.12417330274</v>
      </c>
      <c r="BP42" s="653">
        <v>2.5320817119106298</v>
      </c>
      <c r="BQ42" s="653">
        <v>2.6034810589439799</v>
      </c>
      <c r="BR42" s="653">
        <v>23.7357512436067</v>
      </c>
      <c r="BS42" s="653">
        <v>24.230544098229</v>
      </c>
      <c r="BT42" s="653">
        <v>87.182692307692307</v>
      </c>
      <c r="BU42" s="653">
        <v>89</v>
      </c>
      <c r="BV42" s="653">
        <v>108.62289178056901</v>
      </c>
      <c r="BW42" s="653">
        <v>112.60279718621599</v>
      </c>
    </row>
    <row r="43" spans="1:75" s="188" customFormat="1" ht="11.85" customHeight="1">
      <c r="A43" s="607" t="s">
        <v>604</v>
      </c>
      <c r="B43" s="654">
        <v>64.743437158083694</v>
      </c>
      <c r="C43" s="654">
        <v>64.312288642109806</v>
      </c>
      <c r="D43" s="654">
        <v>92.034684615384606</v>
      </c>
      <c r="E43" s="654">
        <v>93.45</v>
      </c>
      <c r="F43" s="654">
        <v>244.126313669947</v>
      </c>
      <c r="G43" s="654">
        <v>247.87798408488101</v>
      </c>
      <c r="H43" s="654">
        <v>71.8652782581743</v>
      </c>
      <c r="I43" s="654">
        <v>72.4811913441402</v>
      </c>
      <c r="J43" s="654">
        <v>13.736525409918499</v>
      </c>
      <c r="K43" s="654">
        <v>13.924069493697299</v>
      </c>
      <c r="L43" s="654">
        <v>13.0839711004016</v>
      </c>
      <c r="M43" s="654">
        <v>13.1145010314776</v>
      </c>
      <c r="N43" s="654">
        <v>97.3272099653136</v>
      </c>
      <c r="O43" s="654">
        <v>97.571141419883105</v>
      </c>
      <c r="P43" s="607" t="s">
        <v>604</v>
      </c>
      <c r="Q43" s="401">
        <v>11.7266685486016</v>
      </c>
      <c r="R43" s="401">
        <v>11.909465125466699</v>
      </c>
      <c r="S43" s="401">
        <v>1.1795725812397</v>
      </c>
      <c r="T43" s="401">
        <v>1.1837355120653601</v>
      </c>
      <c r="U43" s="401">
        <v>6.2648263062364401E-3</v>
      </c>
      <c r="V43" s="401">
        <v>6.2791869645556896E-3</v>
      </c>
      <c r="W43" s="401">
        <v>2.1913020146520101E-3</v>
      </c>
      <c r="X43" s="401">
        <v>2.225E-3</v>
      </c>
      <c r="Y43" s="401">
        <v>0.68744959404508899</v>
      </c>
      <c r="Z43" s="401">
        <v>0.68413924374977098</v>
      </c>
      <c r="AA43" s="401">
        <v>300.11159569153199</v>
      </c>
      <c r="AB43" s="401">
        <v>304.59582790091298</v>
      </c>
      <c r="AC43" s="401">
        <v>20.913360768434501</v>
      </c>
      <c r="AD43" s="401">
        <v>21.209714026327699</v>
      </c>
      <c r="AE43" s="607" t="s">
        <v>604</v>
      </c>
      <c r="AF43" s="401">
        <v>4.9708174245414301E-2</v>
      </c>
      <c r="AG43" s="401">
        <v>5.0472589792060499E-2</v>
      </c>
      <c r="AH43" s="401">
        <v>0.77870104473309998</v>
      </c>
      <c r="AI43" s="401">
        <v>0.78847119274724597</v>
      </c>
      <c r="AJ43" s="401">
        <v>58.570883031075198</v>
      </c>
      <c r="AK43" s="401">
        <v>58.102537124246098</v>
      </c>
      <c r="AL43" s="401">
        <v>9.4549800922689808</v>
      </c>
      <c r="AM43" s="401">
        <v>9.4238303408007997</v>
      </c>
      <c r="AN43" s="401">
        <v>239.04519239752599</v>
      </c>
      <c r="AO43" s="401">
        <v>242.727272727273</v>
      </c>
      <c r="AP43" s="401">
        <v>0.45036485108554097</v>
      </c>
      <c r="AQ43" s="401">
        <v>0.45752753977968202</v>
      </c>
      <c r="AR43" s="401">
        <v>1.7146190581482601</v>
      </c>
      <c r="AS43" s="401">
        <v>1.7028061224489801</v>
      </c>
      <c r="AT43" s="607" t="s">
        <v>604</v>
      </c>
      <c r="AU43" s="606">
        <v>25.150103659542602</v>
      </c>
      <c r="AV43" s="401">
        <v>25.511875511875498</v>
      </c>
      <c r="AW43" s="401">
        <v>1.61571647161236</v>
      </c>
      <c r="AX43" s="401">
        <v>1.7690487458589701</v>
      </c>
      <c r="AY43" s="401">
        <v>24.5305554532226</v>
      </c>
      <c r="AZ43" s="401">
        <v>24.906052610538101</v>
      </c>
      <c r="BA43" s="401">
        <v>7.2010398925124994E-2</v>
      </c>
      <c r="BB43" s="401">
        <v>7.1928879310344807E-2</v>
      </c>
      <c r="BC43" s="401">
        <v>66.506837725078299</v>
      </c>
      <c r="BD43" s="401">
        <v>67.0493273542601</v>
      </c>
      <c r="BE43" s="401">
        <v>9.1855701566373504</v>
      </c>
      <c r="BF43" s="401">
        <v>9.1328886608517195</v>
      </c>
      <c r="BG43" s="401">
        <v>0.255786084002805</v>
      </c>
      <c r="BH43" s="401">
        <v>0.25886426592797801</v>
      </c>
      <c r="BI43" s="607" t="s">
        <v>604</v>
      </c>
      <c r="BJ43" s="654">
        <v>94.876929071776402</v>
      </c>
      <c r="BK43" s="654">
        <v>97.827793771264098</v>
      </c>
      <c r="BL43" s="654">
        <v>3.6636321269348099E-2</v>
      </c>
      <c r="BM43" s="654">
        <v>3.7194029850746303E-2</v>
      </c>
      <c r="BN43" s="654">
        <v>123.242265645896</v>
      </c>
      <c r="BO43" s="654">
        <v>124.08710662594601</v>
      </c>
      <c r="BP43" s="654">
        <v>2.6339689149671299</v>
      </c>
      <c r="BQ43" s="654">
        <v>2.6476838079048002</v>
      </c>
      <c r="BR43" s="654">
        <v>25.056706323404399</v>
      </c>
      <c r="BS43" s="654">
        <v>25.441724973455699</v>
      </c>
      <c r="BT43" s="654">
        <v>92.034684615384606</v>
      </c>
      <c r="BU43" s="654">
        <v>93.45</v>
      </c>
      <c r="BV43" s="654">
        <v>113.511105966933</v>
      </c>
      <c r="BW43" s="654">
        <v>113.326811917622</v>
      </c>
    </row>
    <row r="44" spans="1:75" s="188" customFormat="1" ht="11.85" customHeight="1">
      <c r="A44" s="611" t="s">
        <v>2481</v>
      </c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11" t="s">
        <v>2481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611" t="s">
        <v>2481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611" t="s">
        <v>2481</v>
      </c>
      <c r="AU44" s="48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611" t="s">
        <v>2481</v>
      </c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</row>
    <row r="45" spans="1:75" s="188" customFormat="1" ht="11.85" customHeight="1">
      <c r="A45" s="607" t="s">
        <v>606</v>
      </c>
      <c r="B45" s="654">
        <v>64.313102826423204</v>
      </c>
      <c r="C45" s="654">
        <v>66.157418644431701</v>
      </c>
      <c r="D45" s="654">
        <v>93.887307692307701</v>
      </c>
      <c r="E45" s="654">
        <v>94.7</v>
      </c>
      <c r="F45" s="654">
        <v>249.03287411392699</v>
      </c>
      <c r="G45" s="654">
        <v>251.193633952255</v>
      </c>
      <c r="H45" s="654">
        <v>72.5457807112643</v>
      </c>
      <c r="I45" s="654">
        <v>74.019071439737402</v>
      </c>
      <c r="J45" s="654">
        <v>13.944326977049901</v>
      </c>
      <c r="K45" s="654">
        <v>14.0427361834008</v>
      </c>
      <c r="L45" s="654">
        <v>12.8679722375028</v>
      </c>
      <c r="M45" s="654">
        <v>13.009313954446799</v>
      </c>
      <c r="N45" s="654">
        <v>95.770371364574004</v>
      </c>
      <c r="O45" s="654">
        <v>96.783396293542097</v>
      </c>
      <c r="P45" s="607" t="s">
        <v>606</v>
      </c>
      <c r="Q45" s="401">
        <v>11.962244657245799</v>
      </c>
      <c r="R45" s="401">
        <v>12.063771106822299</v>
      </c>
      <c r="S45" s="401">
        <v>1.18063850697232</v>
      </c>
      <c r="T45" s="401">
        <v>1.1934317147861999</v>
      </c>
      <c r="U45" s="401">
        <v>6.2669218081374597E-3</v>
      </c>
      <c r="V45" s="401">
        <v>6.3846283499073E-3</v>
      </c>
      <c r="W45" s="401">
        <v>2.2354120879120899E-3</v>
      </c>
      <c r="X45" s="401">
        <v>2.2547619047619E-3</v>
      </c>
      <c r="Y45" s="401">
        <v>0.68689277079517796</v>
      </c>
      <c r="Z45" s="401">
        <v>0.71093427423895506</v>
      </c>
      <c r="AA45" s="401">
        <v>305.40960513152299</v>
      </c>
      <c r="AB45" s="401">
        <v>308.46905537459298</v>
      </c>
      <c r="AC45" s="401">
        <v>21.146921771252298</v>
      </c>
      <c r="AD45" s="401">
        <v>21.278508032805298</v>
      </c>
      <c r="AE45" s="607" t="s">
        <v>606</v>
      </c>
      <c r="AF45" s="401">
        <v>5.0708780822202398E-2</v>
      </c>
      <c r="AG45" s="401">
        <v>5.1147718066432597E-2</v>
      </c>
      <c r="AH45" s="401">
        <v>0.78214028837757199</v>
      </c>
      <c r="AI45" s="401">
        <v>0.79142354280289295</v>
      </c>
      <c r="AJ45" s="401">
        <v>58.188778688785703</v>
      </c>
      <c r="AK45" s="401">
        <v>59.5710255909705</v>
      </c>
      <c r="AL45" s="401">
        <v>9.3817939303312006</v>
      </c>
      <c r="AM45" s="401">
        <v>9.7859896043236105</v>
      </c>
      <c r="AN45" s="401">
        <v>243.871776510937</v>
      </c>
      <c r="AO45" s="401">
        <v>246.29388816644999</v>
      </c>
      <c r="AP45" s="401">
        <v>0.434842893322957</v>
      </c>
      <c r="AQ45" s="401">
        <v>0.394435420050814</v>
      </c>
      <c r="AR45" s="401">
        <v>1.6798184899917299</v>
      </c>
      <c r="AS45" s="401">
        <v>1.7106213872832401</v>
      </c>
      <c r="AT45" s="607" t="s">
        <v>606</v>
      </c>
      <c r="AU45" s="606">
        <v>25.627346299755899</v>
      </c>
      <c r="AV45" s="401">
        <v>25.725656384553702</v>
      </c>
      <c r="AW45" s="401">
        <v>1.6105926823093599</v>
      </c>
      <c r="AX45" s="401">
        <v>1.5212851405622501</v>
      </c>
      <c r="AY45" s="401">
        <v>25.003825093993399</v>
      </c>
      <c r="AZ45" s="401">
        <v>25.212992545260899</v>
      </c>
      <c r="BA45" s="401">
        <v>7.1838194025281105E-2</v>
      </c>
      <c r="BB45" s="401">
        <v>7.2662541193982896E-2</v>
      </c>
      <c r="BC45" s="401">
        <v>67.248553251076004</v>
      </c>
      <c r="BD45" s="401">
        <v>68.590881106725107</v>
      </c>
      <c r="BE45" s="401">
        <v>9.0532191359009406</v>
      </c>
      <c r="BF45" s="401">
        <v>9.3263738428205603</v>
      </c>
      <c r="BG45" s="401">
        <v>0.26027505053809102</v>
      </c>
      <c r="BH45" s="401">
        <v>0.26378830083565502</v>
      </c>
      <c r="BI45" s="607" t="s">
        <v>606</v>
      </c>
      <c r="BJ45" s="654">
        <v>96.960907575628099</v>
      </c>
      <c r="BK45" s="654">
        <v>99.516603614964296</v>
      </c>
      <c r="BL45" s="654">
        <v>3.7373247089412399E-2</v>
      </c>
      <c r="BM45" s="654">
        <v>3.7706549870595303E-2</v>
      </c>
      <c r="BN45" s="654">
        <v>123.737225941327</v>
      </c>
      <c r="BO45" s="654">
        <v>125.347452018531</v>
      </c>
      <c r="BP45" s="654">
        <v>2.5826076552129602</v>
      </c>
      <c r="BQ45" s="654">
        <v>2.6088154269972499</v>
      </c>
      <c r="BR45" s="654">
        <v>25.560795173085101</v>
      </c>
      <c r="BS45" s="654">
        <v>25.782036971495501</v>
      </c>
      <c r="BT45" s="654">
        <v>93.887307692307701</v>
      </c>
      <c r="BU45" s="654">
        <v>94.7</v>
      </c>
      <c r="BV45" s="654">
        <v>112.599162398907</v>
      </c>
      <c r="BW45" s="654">
        <v>115.226223248819</v>
      </c>
    </row>
    <row r="46" spans="1:75" s="188" customFormat="1" ht="11.85" customHeight="1">
      <c r="A46" s="610" t="s">
        <v>607</v>
      </c>
      <c r="B46" s="653">
        <v>66.052825065238693</v>
      </c>
      <c r="C46" s="653">
        <v>65.093998613543505</v>
      </c>
      <c r="D46" s="653">
        <v>94.905555555555495</v>
      </c>
      <c r="E46" s="653">
        <v>95</v>
      </c>
      <c r="F46" s="653">
        <v>251.73392983800099</v>
      </c>
      <c r="G46" s="653">
        <v>251.989389920424</v>
      </c>
      <c r="H46" s="653">
        <v>73.522786523457398</v>
      </c>
      <c r="I46" s="653">
        <v>72.5495437015541</v>
      </c>
      <c r="J46" s="653">
        <v>13.9698871147971</v>
      </c>
      <c r="K46" s="653">
        <v>13.786898093054299</v>
      </c>
      <c r="L46" s="653">
        <v>12.9184433745143</v>
      </c>
      <c r="M46" s="653">
        <v>12.7907368137601</v>
      </c>
      <c r="N46" s="653">
        <v>96.097041519315098</v>
      </c>
      <c r="O46" s="653">
        <v>95.132996205312594</v>
      </c>
      <c r="P46" s="610" t="s">
        <v>607</v>
      </c>
      <c r="Q46" s="417">
        <v>12.0959499771105</v>
      </c>
      <c r="R46" s="417">
        <v>12.103992406337399</v>
      </c>
      <c r="S46" s="417">
        <v>1.19386270295547</v>
      </c>
      <c r="T46" s="417">
        <v>1.1922316694380799</v>
      </c>
      <c r="U46" s="417">
        <v>6.3948336670053103E-3</v>
      </c>
      <c r="V46" s="417">
        <v>6.3938618925831201E-3</v>
      </c>
      <c r="W46" s="417">
        <v>2.25965608465608E-3</v>
      </c>
      <c r="X46" s="417">
        <v>2.2619047619047601E-3</v>
      </c>
      <c r="Y46" s="417">
        <v>0.70225238117899003</v>
      </c>
      <c r="Z46" s="417">
        <v>0.68443804034582101</v>
      </c>
      <c r="AA46" s="417">
        <v>309.03116231970102</v>
      </c>
      <c r="AB46" s="417">
        <v>308.39149488719403</v>
      </c>
      <c r="AC46" s="417">
        <v>21.256171121493299</v>
      </c>
      <c r="AD46" s="417">
        <v>21.226678583398499</v>
      </c>
      <c r="AE46" s="610" t="s">
        <v>607</v>
      </c>
      <c r="AF46" s="417">
        <v>4.6982863217958602E-2</v>
      </c>
      <c r="AG46" s="417">
        <v>4.5238095238095202E-2</v>
      </c>
      <c r="AH46" s="417">
        <v>0.788832045352308</v>
      </c>
      <c r="AI46" s="417">
        <v>0.78091477178382296</v>
      </c>
      <c r="AJ46" s="417">
        <v>59.462371367342897</v>
      </c>
      <c r="AK46" s="417">
        <v>58.225493799967403</v>
      </c>
      <c r="AL46" s="417">
        <v>9.7745541727696708</v>
      </c>
      <c r="AM46" s="417">
        <v>9.68152866242038</v>
      </c>
      <c r="AN46" s="417">
        <v>246.51031058486601</v>
      </c>
      <c r="AO46" s="417">
        <v>246.753246753247</v>
      </c>
      <c r="AP46" s="417">
        <v>0.42994096566641099</v>
      </c>
      <c r="AQ46" s="417">
        <v>0.43152396093572598</v>
      </c>
      <c r="AR46" s="417">
        <v>1.6999527733878399</v>
      </c>
      <c r="AS46" s="417">
        <v>1.6917460600124701</v>
      </c>
      <c r="AT46" s="610" t="s">
        <v>607</v>
      </c>
      <c r="AU46" s="487">
        <v>25.865025577501999</v>
      </c>
      <c r="AV46" s="417">
        <v>25.860895603647698</v>
      </c>
      <c r="AW46" s="417">
        <v>1.56879821739793</v>
      </c>
      <c r="AX46" s="417">
        <v>1.5833333333333299</v>
      </c>
      <c r="AY46" s="417">
        <v>25.2623507312607</v>
      </c>
      <c r="AZ46" s="417">
        <v>25.289498203114601</v>
      </c>
      <c r="BA46" s="417">
        <v>7.1913633152842299E-2</v>
      </c>
      <c r="BB46" s="417">
        <v>7.07081984295337E-2</v>
      </c>
      <c r="BC46" s="417">
        <v>68.580087529985093</v>
      </c>
      <c r="BD46" s="417">
        <v>67.954220314735295</v>
      </c>
      <c r="BE46" s="417">
        <v>9.1551351483493093</v>
      </c>
      <c r="BF46" s="417">
        <v>8.9036345573487807</v>
      </c>
      <c r="BG46" s="417">
        <v>0.26337934764999399</v>
      </c>
      <c r="BH46" s="417">
        <v>0.26099618121377</v>
      </c>
      <c r="BI46" s="610" t="s">
        <v>607</v>
      </c>
      <c r="BJ46" s="653">
        <v>99.192847040729504</v>
      </c>
      <c r="BK46" s="653">
        <v>97.525921363309706</v>
      </c>
      <c r="BL46" s="653">
        <v>3.77766948653111E-2</v>
      </c>
      <c r="BM46" s="653">
        <v>3.7810945273631803E-2</v>
      </c>
      <c r="BN46" s="653">
        <v>124.859487163271</v>
      </c>
      <c r="BO46" s="653">
        <v>123.907656188861</v>
      </c>
      <c r="BP46" s="653">
        <v>2.64714872692223</v>
      </c>
      <c r="BQ46" s="653">
        <v>2.6016705463508099</v>
      </c>
      <c r="BR46" s="653">
        <v>25.838051466066901</v>
      </c>
      <c r="BS46" s="653">
        <v>25.863711851024998</v>
      </c>
      <c r="BT46" s="653">
        <v>94.905555555555495</v>
      </c>
      <c r="BU46" s="653">
        <v>95</v>
      </c>
      <c r="BV46" s="653">
        <v>113.87061999013901</v>
      </c>
      <c r="BW46" s="653">
        <v>110.731999184969</v>
      </c>
    </row>
    <row r="47" spans="1:75" s="188" customFormat="1" ht="11.85" customHeight="1">
      <c r="A47" s="607" t="s">
        <v>601</v>
      </c>
      <c r="B47" s="654">
        <v>64.090733843446998</v>
      </c>
      <c r="C47" s="654">
        <v>62.620798528284503</v>
      </c>
      <c r="D47" s="654">
        <v>95.615384615384599</v>
      </c>
      <c r="E47" s="654">
        <v>96</v>
      </c>
      <c r="F47" s="654">
        <v>253.61521607472599</v>
      </c>
      <c r="G47" s="654">
        <v>254.64190981432401</v>
      </c>
      <c r="H47" s="654">
        <v>71.9595212468044</v>
      </c>
      <c r="I47" s="654">
        <v>70.551921804953295</v>
      </c>
      <c r="J47" s="654">
        <v>13.750255549319499</v>
      </c>
      <c r="K47" s="654">
        <v>13.501729909144601</v>
      </c>
      <c r="L47" s="654">
        <v>12.7472039538688</v>
      </c>
      <c r="M47" s="654">
        <v>12.567912548275199</v>
      </c>
      <c r="N47" s="654">
        <v>94.785950476250704</v>
      </c>
      <c r="O47" s="654">
        <v>93.460797781315804</v>
      </c>
      <c r="P47" s="607" t="s">
        <v>601</v>
      </c>
      <c r="Q47" s="401">
        <v>12.181264344655</v>
      </c>
      <c r="R47" s="401">
        <v>12.2307016091017</v>
      </c>
      <c r="S47" s="401">
        <v>1.19406554674399</v>
      </c>
      <c r="T47" s="401">
        <v>1.17891220788152</v>
      </c>
      <c r="U47" s="401">
        <v>6.3836841542673703E-3</v>
      </c>
      <c r="V47" s="401">
        <v>6.2998326606949501E-3</v>
      </c>
      <c r="W47" s="401">
        <v>2.2765567765567801E-3</v>
      </c>
      <c r="X47" s="401">
        <v>2.2857142857142898E-3</v>
      </c>
      <c r="Y47" s="401">
        <v>0.66951814770074702</v>
      </c>
      <c r="Z47" s="401">
        <v>0.66590365206534197</v>
      </c>
      <c r="AA47" s="401">
        <v>309.26534176829898</v>
      </c>
      <c r="AB47" s="401">
        <v>309.22853921726499</v>
      </c>
      <c r="AC47" s="401">
        <v>21.056103146311202</v>
      </c>
      <c r="AD47" s="401">
        <v>20.662935858803301</v>
      </c>
      <c r="AE47" s="607" t="s">
        <v>601</v>
      </c>
      <c r="AF47" s="401">
        <v>4.5531135531135497E-2</v>
      </c>
      <c r="AG47" s="401">
        <v>4.57142857142857E-2</v>
      </c>
      <c r="AH47" s="401">
        <v>0.781279108654932</v>
      </c>
      <c r="AI47" s="401">
        <v>0.77095058206768896</v>
      </c>
      <c r="AJ47" s="401">
        <v>56.951463967383198</v>
      </c>
      <c r="AK47" s="401">
        <v>55.007993298429298</v>
      </c>
      <c r="AL47" s="401">
        <v>9.3658784074262407</v>
      </c>
      <c r="AM47" s="401">
        <v>9.0012376701796502</v>
      </c>
      <c r="AN47" s="401">
        <v>248.363989716395</v>
      </c>
      <c r="AO47" s="401">
        <v>249.35064935064901</v>
      </c>
      <c r="AP47" s="401">
        <v>0.41450641596170101</v>
      </c>
      <c r="AQ47" s="401">
        <v>0.41388230222030598</v>
      </c>
      <c r="AR47" s="401">
        <v>1.6602252157153901</v>
      </c>
      <c r="AS47" s="401">
        <v>1.6289132094680601</v>
      </c>
      <c r="AT47" s="607" t="s">
        <v>601</v>
      </c>
      <c r="AU47" s="606">
        <v>26.068999913964198</v>
      </c>
      <c r="AV47" s="401">
        <v>26.208741707390299</v>
      </c>
      <c r="AW47" s="401">
        <v>1.5871031064411201</v>
      </c>
      <c r="AX47" s="401">
        <v>1.6580310880828999</v>
      </c>
      <c r="AY47" s="401">
        <v>25.42878320486</v>
      </c>
      <c r="AZ47" s="401">
        <v>25.487853444842699</v>
      </c>
      <c r="BA47" s="401">
        <v>6.8581936955508696E-2</v>
      </c>
      <c r="BB47" s="401">
        <v>6.6926938092582294E-2</v>
      </c>
      <c r="BC47" s="401">
        <v>67.739629679544095</v>
      </c>
      <c r="BD47" s="401">
        <v>66.919940050887007</v>
      </c>
      <c r="BE47" s="401">
        <v>8.7803753687616908</v>
      </c>
      <c r="BF47" s="401">
        <v>8.5253763154389208</v>
      </c>
      <c r="BG47" s="401">
        <v>0.26398440791600097</v>
      </c>
      <c r="BH47" s="401">
        <v>0.26377974391383202</v>
      </c>
      <c r="BI47" s="607" t="s">
        <v>601</v>
      </c>
      <c r="BJ47" s="654">
        <v>98.324002859608697</v>
      </c>
      <c r="BK47" s="654">
        <v>98.330431219911901</v>
      </c>
      <c r="BL47" s="654">
        <v>3.80617014774517E-2</v>
      </c>
      <c r="BM47" s="654">
        <v>3.8208955223880597E-2</v>
      </c>
      <c r="BN47" s="654">
        <v>123.555031507547</v>
      </c>
      <c r="BO47" s="654">
        <v>122.480224547078</v>
      </c>
      <c r="BP47" s="654">
        <v>2.5835292700463399</v>
      </c>
      <c r="BQ47" s="654">
        <v>2.5193544154310499</v>
      </c>
      <c r="BR47" s="654">
        <v>26.031263606754301</v>
      </c>
      <c r="BS47" s="654">
        <v>26.1359614494569</v>
      </c>
      <c r="BT47" s="654">
        <v>95.615384615384599</v>
      </c>
      <c r="BU47" s="654">
        <v>96</v>
      </c>
      <c r="BV47" s="654">
        <v>108.432195739555</v>
      </c>
      <c r="BW47" s="654">
        <v>104.543996473829</v>
      </c>
    </row>
    <row r="48" spans="1:75" s="188" customFormat="1" ht="11.85" customHeight="1">
      <c r="A48" s="610" t="s">
        <v>608</v>
      </c>
      <c r="B48" s="653">
        <v>61.5424534778818</v>
      </c>
      <c r="C48" s="653">
        <v>62.196398487211503</v>
      </c>
      <c r="D48" s="653">
        <v>96.615384615384599</v>
      </c>
      <c r="E48" s="653">
        <v>97</v>
      </c>
      <c r="F48" s="653">
        <v>256.211508834857</v>
      </c>
      <c r="G48" s="653">
        <v>257.26031030367301</v>
      </c>
      <c r="H48" s="653">
        <v>70.496410154389295</v>
      </c>
      <c r="I48" s="653">
        <v>71.313042199676502</v>
      </c>
      <c r="J48" s="653">
        <v>13.5678718738738</v>
      </c>
      <c r="K48" s="653">
        <v>13.515773046483099</v>
      </c>
      <c r="L48" s="653">
        <v>12.7800029334058</v>
      </c>
      <c r="M48" s="653">
        <v>12.987186868213501</v>
      </c>
      <c r="N48" s="653">
        <v>95.055577421852306</v>
      </c>
      <c r="O48" s="653">
        <v>96.660496106372307</v>
      </c>
      <c r="P48" s="610" t="s">
        <v>608</v>
      </c>
      <c r="Q48" s="417">
        <v>12.3079914779421</v>
      </c>
      <c r="R48" s="417">
        <v>12.3578685861706</v>
      </c>
      <c r="S48" s="417">
        <v>1.17556638274229</v>
      </c>
      <c r="T48" s="417">
        <v>1.17906610671156</v>
      </c>
      <c r="U48" s="417">
        <v>6.26340338978829E-3</v>
      </c>
      <c r="V48" s="417">
        <v>6.22213669457006E-3</v>
      </c>
      <c r="W48" s="417">
        <v>2.3003663003662998E-3</v>
      </c>
      <c r="X48" s="417">
        <v>2.3095238095238099E-3</v>
      </c>
      <c r="Y48" s="417">
        <v>0.65785929670688303</v>
      </c>
      <c r="Z48" s="417">
        <v>0.65778320279388303</v>
      </c>
      <c r="AA48" s="417">
        <v>311.63927184644399</v>
      </c>
      <c r="AB48" s="417">
        <v>313.30749354005201</v>
      </c>
      <c r="AC48" s="417">
        <v>20.594951339743101</v>
      </c>
      <c r="AD48" s="417">
        <v>20.519329419853001</v>
      </c>
      <c r="AE48" s="610" t="s">
        <v>608</v>
      </c>
      <c r="AF48" s="417">
        <v>4.6007326007326002E-2</v>
      </c>
      <c r="AG48" s="417">
        <v>4.6190476190476198E-2</v>
      </c>
      <c r="AH48" s="417">
        <v>0.78058592305782204</v>
      </c>
      <c r="AI48" s="417">
        <v>0.78724948017186402</v>
      </c>
      <c r="AJ48" s="417">
        <v>54.9481924122002</v>
      </c>
      <c r="AK48" s="417">
        <v>56.405493327601</v>
      </c>
      <c r="AL48" s="417">
        <v>9.1322133322901493</v>
      </c>
      <c r="AM48" s="417">
        <v>9.3858554191219898</v>
      </c>
      <c r="AN48" s="417">
        <v>250.93654559957599</v>
      </c>
      <c r="AO48" s="417">
        <v>251.915335670692</v>
      </c>
      <c r="AP48" s="417">
        <v>0.436110217630921</v>
      </c>
      <c r="AQ48" s="417">
        <v>0.43817052512704702</v>
      </c>
      <c r="AR48" s="417">
        <v>1.6444369217622199</v>
      </c>
      <c r="AS48" s="417">
        <v>1.6715491986903299</v>
      </c>
      <c r="AT48" s="610" t="s">
        <v>608</v>
      </c>
      <c r="AU48" s="487">
        <v>26.4777066925894</v>
      </c>
      <c r="AV48" s="417">
        <v>26.389531245749101</v>
      </c>
      <c r="AW48" s="417">
        <v>1.5723933302824</v>
      </c>
      <c r="AX48" s="417">
        <v>1.57659488013003</v>
      </c>
      <c r="AY48" s="417">
        <v>25.704843331950698</v>
      </c>
      <c r="AZ48" s="417">
        <v>25.807481509072499</v>
      </c>
      <c r="BA48" s="417">
        <v>6.7718085368116507E-2</v>
      </c>
      <c r="BB48" s="417">
        <v>6.8316113447005694E-2</v>
      </c>
      <c r="BC48" s="417">
        <v>67.830028671621704</v>
      </c>
      <c r="BD48" s="417">
        <v>68.7528794698231</v>
      </c>
      <c r="BE48" s="417">
        <v>8.6947969315943894</v>
      </c>
      <c r="BF48" s="417">
        <v>8.8577598999164397</v>
      </c>
      <c r="BG48" s="417">
        <v>0.26405197466354402</v>
      </c>
      <c r="BH48" s="417">
        <v>0.26430517711171703</v>
      </c>
      <c r="BI48" s="610" t="s">
        <v>608</v>
      </c>
      <c r="BJ48" s="653">
        <v>97.1279654022713</v>
      </c>
      <c r="BK48" s="653">
        <v>97.360232861587903</v>
      </c>
      <c r="BL48" s="653">
        <v>3.8459187241178097E-2</v>
      </c>
      <c r="BM48" s="653">
        <v>3.8606965174129398E-2</v>
      </c>
      <c r="BN48" s="653">
        <v>123.726139352833</v>
      </c>
      <c r="BO48" s="653">
        <v>124.67866323907499</v>
      </c>
      <c r="BP48" s="653">
        <v>2.54840474068931</v>
      </c>
      <c r="BQ48" s="653">
        <v>2.5549848544712201</v>
      </c>
      <c r="BR48" s="653">
        <v>26.3036379322923</v>
      </c>
      <c r="BS48" s="653">
        <v>26.408211047888699</v>
      </c>
      <c r="BT48" s="653">
        <v>96.615384615384599</v>
      </c>
      <c r="BU48" s="653">
        <v>97</v>
      </c>
      <c r="BV48" s="653">
        <v>109.094649570805</v>
      </c>
      <c r="BW48" s="653">
        <v>112.64609248256301</v>
      </c>
    </row>
    <row r="49" spans="1:75" s="188" customFormat="1" ht="11.85" customHeight="1" thickBot="1">
      <c r="A49" s="1594" t="s">
        <v>609</v>
      </c>
      <c r="B49" s="1654">
        <v>64.403006730917895</v>
      </c>
      <c r="C49" s="1654">
        <v>65.542394138755995</v>
      </c>
      <c r="D49" s="1654">
        <v>97.615384615384599</v>
      </c>
      <c r="E49" s="1654">
        <v>98</v>
      </c>
      <c r="F49" s="1654">
        <v>258.90299428118698</v>
      </c>
      <c r="G49" s="1654">
        <v>259.91247845113401</v>
      </c>
      <c r="H49" s="1654">
        <v>72.624314564148307</v>
      </c>
      <c r="I49" s="1654">
        <v>72.164948453608204</v>
      </c>
      <c r="J49" s="1654">
        <v>13.6281100526193</v>
      </c>
      <c r="K49" s="1654">
        <v>13.6549206481907</v>
      </c>
      <c r="L49" s="1654">
        <v>13.378575052021899</v>
      </c>
      <c r="M49" s="1654">
        <v>13.610922070526801</v>
      </c>
      <c r="N49" s="1654">
        <v>99.5264565661967</v>
      </c>
      <c r="O49" s="1654">
        <v>101.22419620485999</v>
      </c>
      <c r="P49" s="1594" t="s">
        <v>609</v>
      </c>
      <c r="Q49" s="1652">
        <v>12.464383580854101</v>
      </c>
      <c r="R49" s="1652">
        <v>12.5472924095283</v>
      </c>
      <c r="S49" s="1652">
        <v>1.1952282620302701</v>
      </c>
      <c r="T49" s="1652">
        <v>1.20059784872467</v>
      </c>
      <c r="U49" s="1652">
        <v>6.2306816778415703E-3</v>
      </c>
      <c r="V49" s="1652">
        <v>6.2265709384331904E-3</v>
      </c>
      <c r="W49" s="1652">
        <v>2.32417582417582E-3</v>
      </c>
      <c r="X49" s="1652">
        <v>2.3333333333333301E-3</v>
      </c>
      <c r="Y49" s="1652">
        <v>0.68531062981354396</v>
      </c>
      <c r="Z49" s="1652">
        <v>0.706535452939692</v>
      </c>
      <c r="AA49" s="1652">
        <v>316.462889243728</v>
      </c>
      <c r="AB49" s="1652">
        <v>318.49203769905802</v>
      </c>
      <c r="AC49" s="1652">
        <v>21.161951072462301</v>
      </c>
      <c r="AD49" s="1652">
        <v>21.89699474919</v>
      </c>
      <c r="AE49" s="1594" t="s">
        <v>609</v>
      </c>
      <c r="AF49" s="1652">
        <v>4.64835164835165E-2</v>
      </c>
      <c r="AG49" s="1652">
        <v>4.6666666666666697E-2</v>
      </c>
      <c r="AH49" s="1652">
        <v>0.80145062122703503</v>
      </c>
      <c r="AI49" s="1652">
        <v>0.81498033652034996</v>
      </c>
      <c r="AJ49" s="1652">
        <v>59.117903399819603</v>
      </c>
      <c r="AK49" s="1652">
        <v>60.759993677419303</v>
      </c>
      <c r="AL49" s="1652">
        <v>9.6269360047477495</v>
      </c>
      <c r="AM49" s="1652">
        <v>9.7940745848761495</v>
      </c>
      <c r="AN49" s="1652">
        <v>253.54392393737899</v>
      </c>
      <c r="AO49" s="1652">
        <v>254.54545454545499</v>
      </c>
      <c r="AP49" s="1652">
        <v>0.43849944449162698</v>
      </c>
      <c r="AQ49" s="1652">
        <v>0.43628269337785203</v>
      </c>
      <c r="AR49" s="1652">
        <v>1.69626757820174</v>
      </c>
      <c r="AS49" s="1652">
        <v>1.7323669789641201</v>
      </c>
      <c r="AT49" s="1594" t="s">
        <v>609</v>
      </c>
      <c r="AU49" s="1683">
        <v>26.6793186961456</v>
      </c>
      <c r="AV49" s="1652">
        <v>26.7540267540268</v>
      </c>
      <c r="AW49" s="1652">
        <v>1.5992967271329499</v>
      </c>
      <c r="AX49" s="1652">
        <v>1.6087991463514699</v>
      </c>
      <c r="AY49" s="1652">
        <v>25.971343516208901</v>
      </c>
      <c r="AZ49" s="1652">
        <v>26.075966207676402</v>
      </c>
      <c r="BA49" s="1652">
        <v>7.1901923230715994E-2</v>
      </c>
      <c r="BB49" s="1652">
        <v>7.4356211778630901E-2</v>
      </c>
      <c r="BC49" s="1652">
        <v>70.369739822752905</v>
      </c>
      <c r="BD49" s="1652">
        <v>71.322004293875807</v>
      </c>
      <c r="BE49" s="1652">
        <v>9.1472348393530698</v>
      </c>
      <c r="BF49" s="1652">
        <v>9.2848751279038897</v>
      </c>
      <c r="BG49" s="1652">
        <v>0.266389813954025</v>
      </c>
      <c r="BH49" s="1652">
        <v>0.269601100412655</v>
      </c>
      <c r="BI49" s="1594" t="s">
        <v>609</v>
      </c>
      <c r="BJ49" s="1654">
        <v>101.189115408749</v>
      </c>
      <c r="BK49" s="1654">
        <v>102.736135863298</v>
      </c>
      <c r="BL49" s="1654">
        <v>3.88590257490629E-2</v>
      </c>
      <c r="BM49" s="1654">
        <v>3.9020505673900099E-2</v>
      </c>
      <c r="BN49" s="1654">
        <v>126.960043272693</v>
      </c>
      <c r="BO49" s="1654">
        <v>128.794848206072</v>
      </c>
      <c r="BP49" s="1654">
        <v>2.6815757644682399</v>
      </c>
      <c r="BQ49" s="1654">
        <v>2.7762039660056699</v>
      </c>
      <c r="BR49" s="1654">
        <v>26.5757907426072</v>
      </c>
      <c r="BS49" s="1654">
        <v>26.680460646320501</v>
      </c>
      <c r="BT49" s="1654">
        <v>97.615384615384599</v>
      </c>
      <c r="BU49" s="1654">
        <v>98</v>
      </c>
      <c r="BV49" s="1654">
        <v>114.547877857789</v>
      </c>
      <c r="BW49" s="1654">
        <v>117.158996721037</v>
      </c>
    </row>
    <row r="50" spans="1:75" s="68" customFormat="1" ht="12.75" customHeight="1">
      <c r="A50" s="655" t="s">
        <v>421</v>
      </c>
      <c r="B50" s="656" t="s">
        <v>1705</v>
      </c>
      <c r="C50" s="34"/>
      <c r="D50" s="34"/>
      <c r="E50" s="34"/>
      <c r="F50" s="34"/>
      <c r="G50" s="34"/>
      <c r="H50" s="657" t="s">
        <v>420</v>
      </c>
      <c r="I50" s="2278" t="s">
        <v>1368</v>
      </c>
      <c r="J50" s="2278"/>
      <c r="K50" s="2278"/>
      <c r="L50" s="2278"/>
      <c r="M50" s="2278"/>
      <c r="N50" s="6"/>
      <c r="O50" s="6"/>
      <c r="P50" s="658"/>
      <c r="Q50" s="34"/>
      <c r="R50" s="34"/>
      <c r="S50" s="34"/>
      <c r="T50" s="34"/>
      <c r="U50" s="34"/>
      <c r="V50" s="34"/>
      <c r="AE50" s="658" t="s">
        <v>764</v>
      </c>
      <c r="AF50" s="2278" t="s">
        <v>1423</v>
      </c>
      <c r="AG50" s="2278"/>
      <c r="AH50" s="2278"/>
      <c r="AI50" s="2278"/>
      <c r="AJ50" s="2278"/>
      <c r="AK50" s="2278"/>
      <c r="AT50" s="1105"/>
      <c r="AU50" s="34"/>
      <c r="AV50" s="34"/>
      <c r="AW50" s="34"/>
      <c r="AX50" s="34"/>
      <c r="AY50" s="34"/>
      <c r="AZ50" s="34"/>
      <c r="BI50" s="658"/>
      <c r="BJ50" s="659"/>
      <c r="BK50" s="659"/>
      <c r="BL50" s="659"/>
      <c r="BM50" s="659"/>
      <c r="BN50" s="659"/>
      <c r="BO50" s="659"/>
      <c r="BP50" s="659"/>
      <c r="BQ50" s="659"/>
      <c r="BR50" s="659"/>
      <c r="BS50" s="659"/>
      <c r="BT50" s="659"/>
      <c r="BU50" s="659"/>
      <c r="BV50" s="659"/>
      <c r="BW50" s="659"/>
    </row>
    <row r="51" spans="1:75"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397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397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397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397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0:M50"/>
    <mergeCell ref="AF50:AK50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45" firstPageNumber="86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5"/>
  <sheetViews>
    <sheetView zoomScale="130" zoomScaleNormal="130" workbookViewId="0">
      <pane xSplit="1" ySplit="3" topLeftCell="Y38" activePane="bottomRight" state="frozen"/>
      <selection activeCell="L47" sqref="L47"/>
      <selection pane="topRight" activeCell="L47" sqref="L47"/>
      <selection pane="bottomLeft" activeCell="L47" sqref="L47"/>
      <selection pane="bottomRight" activeCell="AG51" sqref="AG51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20" t="s">
        <v>348</v>
      </c>
      <c r="B1" s="2320"/>
      <c r="C1" s="2320"/>
      <c r="D1" s="2320"/>
      <c r="E1" s="2320"/>
      <c r="F1" s="2320"/>
      <c r="G1" s="2320"/>
      <c r="H1" s="2320"/>
      <c r="I1" s="2321" t="s">
        <v>349</v>
      </c>
      <c r="J1" s="2321"/>
      <c r="K1" s="2321"/>
      <c r="L1" s="2321"/>
      <c r="M1" s="2321"/>
      <c r="N1" s="2321"/>
      <c r="O1" s="378"/>
      <c r="P1" s="2319" t="s">
        <v>1216</v>
      </c>
      <c r="Q1" s="2319"/>
      <c r="R1" s="2319"/>
      <c r="S1" s="2320" t="s">
        <v>931</v>
      </c>
      <c r="T1" s="2320"/>
      <c r="U1" s="2320"/>
      <c r="V1" s="2320"/>
      <c r="W1" s="2320"/>
      <c r="X1" s="2320"/>
      <c r="Y1" s="2320"/>
      <c r="Z1" s="2320"/>
      <c r="AA1" s="2320"/>
      <c r="AB1" s="2321" t="s">
        <v>349</v>
      </c>
      <c r="AC1" s="2321"/>
      <c r="AD1" s="2321"/>
      <c r="AE1" s="2321"/>
      <c r="AF1" s="2321"/>
      <c r="AG1" s="378"/>
      <c r="AH1" s="2319" t="s">
        <v>1217</v>
      </c>
      <c r="AI1" s="2319"/>
      <c r="AJ1" s="2319"/>
    </row>
    <row r="2" spans="1:36" s="17" customFormat="1" ht="10.5" customHeight="1">
      <c r="A2" s="46"/>
      <c r="B2" s="46"/>
      <c r="C2" s="46"/>
      <c r="E2" s="127"/>
      <c r="H2" s="72"/>
      <c r="I2" s="1125"/>
      <c r="J2" s="72"/>
      <c r="K2" s="72"/>
      <c r="L2" s="72"/>
      <c r="M2" s="72"/>
      <c r="N2" s="72"/>
      <c r="O2" s="46"/>
      <c r="P2" s="46"/>
      <c r="Q2" s="2295" t="s">
        <v>660</v>
      </c>
      <c r="R2" s="2295"/>
      <c r="W2" s="127"/>
      <c r="AI2" s="2295" t="s">
        <v>660</v>
      </c>
      <c r="AJ2" s="2295"/>
    </row>
    <row r="3" spans="1:36" s="91" customFormat="1" ht="39" customHeight="1">
      <c r="A3" s="1106" t="s">
        <v>1022</v>
      </c>
      <c r="B3" s="1106" t="s">
        <v>661</v>
      </c>
      <c r="C3" s="1106" t="s">
        <v>417</v>
      </c>
      <c r="D3" s="1106" t="s">
        <v>562</v>
      </c>
      <c r="E3" s="1106" t="s">
        <v>563</v>
      </c>
      <c r="F3" s="1106" t="s">
        <v>915</v>
      </c>
      <c r="G3" s="1106" t="s">
        <v>916</v>
      </c>
      <c r="H3" s="1106" t="s">
        <v>329</v>
      </c>
      <c r="I3" s="1106" t="s">
        <v>917</v>
      </c>
      <c r="J3" s="1106" t="s">
        <v>565</v>
      </c>
      <c r="K3" s="1106" t="s">
        <v>918</v>
      </c>
      <c r="L3" s="1106" t="s">
        <v>252</v>
      </c>
      <c r="M3" s="1106" t="s">
        <v>919</v>
      </c>
      <c r="N3" s="1106" t="s">
        <v>920</v>
      </c>
      <c r="O3" s="1106" t="s">
        <v>921</v>
      </c>
      <c r="P3" s="1106" t="s">
        <v>922</v>
      </c>
      <c r="Q3" s="1106" t="s">
        <v>568</v>
      </c>
      <c r="R3" s="1106" t="s">
        <v>569</v>
      </c>
      <c r="S3" s="1106" t="s">
        <v>1022</v>
      </c>
      <c r="T3" s="1106" t="s">
        <v>570</v>
      </c>
      <c r="U3" s="1106" t="s">
        <v>571</v>
      </c>
      <c r="V3" s="1106" t="s">
        <v>923</v>
      </c>
      <c r="W3" s="1106" t="s">
        <v>573</v>
      </c>
      <c r="X3" s="1264" t="s">
        <v>2293</v>
      </c>
      <c r="Y3" s="1106" t="s">
        <v>924</v>
      </c>
      <c r="Z3" s="1106" t="s">
        <v>925</v>
      </c>
      <c r="AA3" s="1106" t="s">
        <v>418</v>
      </c>
      <c r="AB3" s="1106" t="s">
        <v>926</v>
      </c>
      <c r="AC3" s="1106" t="s">
        <v>927</v>
      </c>
      <c r="AD3" s="1130" t="s">
        <v>928</v>
      </c>
      <c r="AE3" s="1264" t="s">
        <v>2294</v>
      </c>
      <c r="AF3" s="1106" t="s">
        <v>663</v>
      </c>
      <c r="AG3" s="1106" t="s">
        <v>579</v>
      </c>
      <c r="AH3" s="1106" t="s">
        <v>1730</v>
      </c>
      <c r="AI3" s="1106" t="s">
        <v>1425</v>
      </c>
      <c r="AJ3" s="1106" t="s">
        <v>1424</v>
      </c>
    </row>
    <row r="4" spans="1:36" ht="12.9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2.95" customHeight="1">
      <c r="A5" s="332" t="s">
        <v>199</v>
      </c>
      <c r="B5" s="328">
        <v>25.89</v>
      </c>
      <c r="C5" s="328">
        <v>-6.34</v>
      </c>
      <c r="D5" s="328">
        <v>-0.01</v>
      </c>
      <c r="E5" s="328">
        <v>8.98</v>
      </c>
      <c r="F5" s="328">
        <v>4.93</v>
      </c>
      <c r="G5" s="328">
        <v>18.23</v>
      </c>
      <c r="H5" s="328">
        <v>18.39</v>
      </c>
      <c r="I5" s="328">
        <v>0.01</v>
      </c>
      <c r="J5" s="328">
        <v>3.74</v>
      </c>
      <c r="K5" s="328">
        <v>5.5</v>
      </c>
      <c r="L5" s="328">
        <v>-6.22</v>
      </c>
      <c r="M5" s="328">
        <v>9.65</v>
      </c>
      <c r="N5" s="328">
        <v>5.92</v>
      </c>
      <c r="O5" s="328">
        <v>7.84</v>
      </c>
      <c r="P5" s="328">
        <v>0</v>
      </c>
      <c r="Q5" s="328">
        <v>3.05</v>
      </c>
      <c r="R5" s="328">
        <v>19.25</v>
      </c>
      <c r="S5" s="332" t="s">
        <v>199</v>
      </c>
      <c r="T5" s="328">
        <v>20.96</v>
      </c>
      <c r="U5" s="328">
        <v>0</v>
      </c>
      <c r="V5" s="328">
        <v>-0.84</v>
      </c>
      <c r="W5" s="328">
        <v>6.77</v>
      </c>
      <c r="X5" s="328">
        <v>-0.05</v>
      </c>
      <c r="Y5" s="345">
        <v>11.69</v>
      </c>
      <c r="Z5" s="345">
        <v>0.01</v>
      </c>
      <c r="AA5" s="345">
        <v>12.92</v>
      </c>
      <c r="AB5" s="345">
        <v>13.77</v>
      </c>
      <c r="AC5" s="345">
        <v>23.15</v>
      </c>
      <c r="AD5" s="345">
        <v>3.56</v>
      </c>
      <c r="AE5" s="345">
        <v>29.66</v>
      </c>
      <c r="AF5" s="345">
        <v>-1.1399999999999999</v>
      </c>
      <c r="AG5" s="345">
        <v>8.27</v>
      </c>
      <c r="AH5" s="345">
        <v>5.23</v>
      </c>
      <c r="AI5" s="345">
        <v>0</v>
      </c>
      <c r="AJ5" s="345">
        <v>6.65</v>
      </c>
    </row>
    <row r="6" spans="1:36" s="177" customFormat="1" ht="12.95" customHeight="1">
      <c r="A6" s="175" t="s">
        <v>792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792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5">
        <v>-14.8</v>
      </c>
      <c r="Z6" s="555">
        <v>-0.01</v>
      </c>
      <c r="AA6" s="555">
        <v>-6.01</v>
      </c>
      <c r="AB6" s="555">
        <v>-2.57</v>
      </c>
      <c r="AC6" s="555">
        <v>-8.85</v>
      </c>
      <c r="AD6" s="555">
        <v>-17.760000000000002</v>
      </c>
      <c r="AE6" s="555">
        <v>-12.17</v>
      </c>
      <c r="AF6" s="555">
        <v>-25.91</v>
      </c>
      <c r="AG6" s="555">
        <v>-4.99</v>
      </c>
      <c r="AH6" s="555">
        <v>-2.56</v>
      </c>
      <c r="AI6" s="555">
        <v>0</v>
      </c>
      <c r="AJ6" s="555">
        <v>-2.48</v>
      </c>
    </row>
    <row r="7" spans="1:36" s="177" customFormat="1" ht="12.95" customHeight="1">
      <c r="A7" s="332" t="s">
        <v>908</v>
      </c>
      <c r="B7" s="328">
        <v>-10.71</v>
      </c>
      <c r="C7" s="328">
        <v>5.21</v>
      </c>
      <c r="D7" s="328">
        <v>0</v>
      </c>
      <c r="E7" s="328">
        <v>-3.35</v>
      </c>
      <c r="F7" s="328">
        <v>2.37</v>
      </c>
      <c r="G7" s="328">
        <v>2.58</v>
      </c>
      <c r="H7" s="328">
        <v>2.92</v>
      </c>
      <c r="I7" s="328">
        <v>0.02</v>
      </c>
      <c r="J7" s="328">
        <v>-6.75</v>
      </c>
      <c r="K7" s="328">
        <v>-5.37</v>
      </c>
      <c r="L7" s="328">
        <v>0.04</v>
      </c>
      <c r="M7" s="328">
        <v>-19.53</v>
      </c>
      <c r="N7" s="328">
        <v>-1.86</v>
      </c>
      <c r="O7" s="328">
        <v>0.35</v>
      </c>
      <c r="P7" s="328">
        <v>0</v>
      </c>
      <c r="Q7" s="328">
        <v>-4.8600000000000003</v>
      </c>
      <c r="R7" s="328">
        <v>-3.26</v>
      </c>
      <c r="S7" s="332" t="s">
        <v>908</v>
      </c>
      <c r="T7" s="328">
        <v>-1.79</v>
      </c>
      <c r="U7" s="328">
        <v>0</v>
      </c>
      <c r="V7" s="328">
        <v>-4.99</v>
      </c>
      <c r="W7" s="328">
        <v>-2.56</v>
      </c>
      <c r="X7" s="328">
        <v>0.01</v>
      </c>
      <c r="Y7" s="345">
        <v>-0.22</v>
      </c>
      <c r="Z7" s="345">
        <v>0.01</v>
      </c>
      <c r="AA7" s="345">
        <v>0.3</v>
      </c>
      <c r="AB7" s="345">
        <v>-0.15</v>
      </c>
      <c r="AC7" s="345">
        <v>3.24</v>
      </c>
      <c r="AD7" s="345">
        <v>2.04</v>
      </c>
      <c r="AE7" s="345">
        <v>0.57999999999999996</v>
      </c>
      <c r="AF7" s="345">
        <v>-36.24</v>
      </c>
      <c r="AG7" s="345">
        <v>-0.89</v>
      </c>
      <c r="AH7" s="345">
        <v>1.76</v>
      </c>
      <c r="AI7" s="345">
        <v>0</v>
      </c>
      <c r="AJ7" s="345">
        <v>-2.96</v>
      </c>
    </row>
    <row r="8" spans="1:36" s="280" customFormat="1" ht="12.95" customHeight="1">
      <c r="A8" s="713" t="s">
        <v>1108</v>
      </c>
      <c r="B8" s="253">
        <v>3.09</v>
      </c>
      <c r="C8" s="253">
        <v>0.17</v>
      </c>
      <c r="D8" s="253">
        <v>0</v>
      </c>
      <c r="E8" s="253">
        <v>-1.3</v>
      </c>
      <c r="F8" s="253">
        <v>0.42</v>
      </c>
      <c r="G8" s="253">
        <v>4.9400000000000004</v>
      </c>
      <c r="H8" s="253">
        <v>4.9000000000000004</v>
      </c>
      <c r="I8" s="253">
        <v>0.06</v>
      </c>
      <c r="J8" s="253">
        <v>-0.86</v>
      </c>
      <c r="K8" s="253">
        <v>-17.149999999999999</v>
      </c>
      <c r="L8" s="253">
        <v>-52.09</v>
      </c>
      <c r="M8" s="253">
        <v>-2.16</v>
      </c>
      <c r="N8" s="253">
        <v>1.22</v>
      </c>
      <c r="O8" s="253">
        <v>-1.54</v>
      </c>
      <c r="P8" s="253">
        <v>0</v>
      </c>
      <c r="Q8" s="253">
        <v>-0.71</v>
      </c>
      <c r="R8" s="253">
        <v>13.34</v>
      </c>
      <c r="S8" s="713" t="s">
        <v>1108</v>
      </c>
      <c r="T8" s="253">
        <v>-0.86</v>
      </c>
      <c r="U8" s="253">
        <v>0</v>
      </c>
      <c r="V8" s="253">
        <v>0.86</v>
      </c>
      <c r="W8" s="253">
        <v>-1.28</v>
      </c>
      <c r="X8" s="253">
        <v>-0.02</v>
      </c>
      <c r="Y8" s="253">
        <v>-2.2799999999999998</v>
      </c>
      <c r="Z8" s="253">
        <v>-0.01</v>
      </c>
      <c r="AA8" s="253">
        <v>12.42</v>
      </c>
      <c r="AB8" s="253">
        <v>1.42</v>
      </c>
      <c r="AC8" s="253">
        <v>-0.51</v>
      </c>
      <c r="AD8" s="253">
        <v>0.16</v>
      </c>
      <c r="AE8" s="253">
        <v>6.06</v>
      </c>
      <c r="AF8" s="253">
        <v>-32.82</v>
      </c>
      <c r="AG8" s="253">
        <v>2.67</v>
      </c>
      <c r="AH8" s="253">
        <v>-4.33</v>
      </c>
      <c r="AI8" s="253">
        <v>0.01</v>
      </c>
      <c r="AJ8" s="253">
        <v>12.04</v>
      </c>
    </row>
    <row r="9" spans="1:36" s="280" customFormat="1" ht="12.95" customHeight="1">
      <c r="A9" s="791" t="s">
        <v>1167</v>
      </c>
      <c r="B9" s="417">
        <v>-18.440000000000001</v>
      </c>
      <c r="C9" s="417">
        <v>-0.22</v>
      </c>
      <c r="D9" s="417">
        <v>-0.01</v>
      </c>
      <c r="E9" s="417">
        <v>-13.97</v>
      </c>
      <c r="F9" s="417">
        <v>0.64</v>
      </c>
      <c r="G9" s="417">
        <v>-17.73</v>
      </c>
      <c r="H9" s="417">
        <v>-17.670000000000002</v>
      </c>
      <c r="I9" s="417">
        <v>-0.01</v>
      </c>
      <c r="J9" s="417">
        <v>-5.75</v>
      </c>
      <c r="K9" s="417">
        <v>-10.130000000000001</v>
      </c>
      <c r="L9" s="417">
        <v>-12.59</v>
      </c>
      <c r="M9" s="417">
        <v>-17.21</v>
      </c>
      <c r="N9" s="417">
        <v>-6.77</v>
      </c>
      <c r="O9" s="417">
        <v>-15.23</v>
      </c>
      <c r="P9" s="417">
        <v>-99.43</v>
      </c>
      <c r="Q9" s="417">
        <v>-5.44</v>
      </c>
      <c r="R9" s="417">
        <v>-21.92</v>
      </c>
      <c r="S9" s="791" t="s">
        <v>1167</v>
      </c>
      <c r="T9" s="417">
        <v>-22.06</v>
      </c>
      <c r="U9" s="417">
        <v>0.01</v>
      </c>
      <c r="V9" s="417">
        <v>-3.09</v>
      </c>
      <c r="W9" s="417">
        <v>-3.09</v>
      </c>
      <c r="X9" s="417">
        <v>-0.01</v>
      </c>
      <c r="Y9" s="417">
        <v>-39.450000000000003</v>
      </c>
      <c r="Z9" s="417">
        <v>-0.01</v>
      </c>
      <c r="AA9" s="417">
        <v>-9.57</v>
      </c>
      <c r="AB9" s="417">
        <v>-7.17</v>
      </c>
      <c r="AC9" s="417">
        <v>-18.239999999999998</v>
      </c>
      <c r="AD9" s="417">
        <v>-2.5499999999999998</v>
      </c>
      <c r="AE9" s="417">
        <v>-3.8</v>
      </c>
      <c r="AF9" s="417">
        <v>-31.24</v>
      </c>
      <c r="AG9" s="417">
        <v>-9.1199999999999992</v>
      </c>
      <c r="AH9" s="417">
        <v>-3.91</v>
      </c>
      <c r="AI9" s="417">
        <v>0</v>
      </c>
      <c r="AJ9" s="417">
        <v>-7.63</v>
      </c>
    </row>
    <row r="10" spans="1:36" s="280" customFormat="1" ht="12.95" customHeight="1">
      <c r="A10" s="868" t="s">
        <v>1299</v>
      </c>
      <c r="B10" s="401">
        <v>-3.89</v>
      </c>
      <c r="C10" s="401">
        <v>-0.76</v>
      </c>
      <c r="D10" s="401">
        <v>-0.08</v>
      </c>
      <c r="E10" s="401">
        <v>-4.84</v>
      </c>
      <c r="F10" s="401">
        <v>-7.82</v>
      </c>
      <c r="G10" s="401">
        <v>-1.31</v>
      </c>
      <c r="H10" s="401">
        <v>-1.52</v>
      </c>
      <c r="I10" s="401">
        <v>-0.08</v>
      </c>
      <c r="J10" s="401">
        <v>-5.91</v>
      </c>
      <c r="K10" s="401">
        <v>1.28</v>
      </c>
      <c r="L10" s="401">
        <v>-2.61</v>
      </c>
      <c r="M10" s="401">
        <v>19.25</v>
      </c>
      <c r="N10" s="401">
        <v>0.05</v>
      </c>
      <c r="O10" s="401">
        <v>-6.68</v>
      </c>
      <c r="P10" s="401">
        <v>-5.53</v>
      </c>
      <c r="Q10" s="401">
        <v>-6.41</v>
      </c>
      <c r="R10" s="401">
        <v>2.8</v>
      </c>
      <c r="S10" s="868" t="s">
        <v>1299</v>
      </c>
      <c r="T10" s="401">
        <v>-7.3</v>
      </c>
      <c r="U10" s="401">
        <v>-0.01</v>
      </c>
      <c r="V10" s="401">
        <v>-2.68</v>
      </c>
      <c r="W10" s="401">
        <v>-3.89</v>
      </c>
      <c r="X10" s="401">
        <v>0</v>
      </c>
      <c r="Y10" s="401">
        <v>-13.36</v>
      </c>
      <c r="Z10" s="401">
        <v>0.01</v>
      </c>
      <c r="AA10" s="401">
        <v>-3.69</v>
      </c>
      <c r="AB10" s="401">
        <v>-0.55000000000000004</v>
      </c>
      <c r="AC10" s="401">
        <v>-3.04</v>
      </c>
      <c r="AD10" s="401">
        <v>-9.5299999999999994</v>
      </c>
      <c r="AE10" s="401">
        <v>-5.73</v>
      </c>
      <c r="AF10" s="401">
        <v>0.35</v>
      </c>
      <c r="AG10" s="401">
        <v>-0.56999999999999995</v>
      </c>
      <c r="AH10" s="401">
        <v>-4.17</v>
      </c>
      <c r="AI10" s="401">
        <v>0</v>
      </c>
      <c r="AJ10" s="401">
        <v>-15.21</v>
      </c>
    </row>
    <row r="11" spans="1:36" s="280" customFormat="1" ht="12.95" customHeight="1">
      <c r="A11" s="1010" t="s">
        <v>1332</v>
      </c>
      <c r="B11" s="417">
        <v>4.01</v>
      </c>
      <c r="C11" s="417">
        <v>-2.72</v>
      </c>
      <c r="D11" s="417">
        <v>0.03</v>
      </c>
      <c r="E11" s="417">
        <v>0.15</v>
      </c>
      <c r="F11" s="417">
        <v>-2.1</v>
      </c>
      <c r="G11" s="417">
        <v>3.51</v>
      </c>
      <c r="H11" s="417">
        <v>3.38</v>
      </c>
      <c r="I11" s="417">
        <v>-0.6</v>
      </c>
      <c r="J11" s="417">
        <v>4.72</v>
      </c>
      <c r="K11" s="417">
        <v>-1.24</v>
      </c>
      <c r="L11" s="417">
        <v>-7.34</v>
      </c>
      <c r="M11" s="417">
        <v>-8.4</v>
      </c>
      <c r="N11" s="417">
        <v>-0.4</v>
      </c>
      <c r="O11" s="417">
        <v>-5.53</v>
      </c>
      <c r="P11" s="417">
        <v>-13.2</v>
      </c>
      <c r="Q11" s="417">
        <v>5.32</v>
      </c>
      <c r="R11" s="417">
        <v>3.58</v>
      </c>
      <c r="S11" s="1010" t="s">
        <v>1332</v>
      </c>
      <c r="T11" s="417">
        <v>1.07</v>
      </c>
      <c r="U11" s="417">
        <v>-0.05</v>
      </c>
      <c r="V11" s="417">
        <v>-0.2</v>
      </c>
      <c r="W11" s="417">
        <v>-6.8</v>
      </c>
      <c r="X11" s="417">
        <v>-2.5099999999999998</v>
      </c>
      <c r="Y11" s="417">
        <v>8.65</v>
      </c>
      <c r="Z11" s="417">
        <v>0.01</v>
      </c>
      <c r="AA11" s="417">
        <v>1.68</v>
      </c>
      <c r="AB11" s="417">
        <v>-1.86</v>
      </c>
      <c r="AC11" s="417">
        <v>0.46</v>
      </c>
      <c r="AD11" s="417">
        <v>-3.74</v>
      </c>
      <c r="AE11" s="417">
        <v>2.76</v>
      </c>
      <c r="AF11" s="417">
        <v>-57.91</v>
      </c>
      <c r="AG11" s="417">
        <v>-0.33</v>
      </c>
      <c r="AH11" s="417">
        <v>3.75</v>
      </c>
      <c r="AI11" s="417">
        <v>-0.01</v>
      </c>
      <c r="AJ11" s="417">
        <v>-2.52</v>
      </c>
    </row>
    <row r="12" spans="1:36" s="280" customFormat="1" ht="12.95" customHeight="1">
      <c r="A12" s="1152" t="s">
        <v>1471</v>
      </c>
      <c r="B12" s="401">
        <v>-4.29</v>
      </c>
      <c r="C12" s="401">
        <v>-3.74</v>
      </c>
      <c r="D12" s="401">
        <v>-0.21</v>
      </c>
      <c r="E12" s="401">
        <v>-1.83</v>
      </c>
      <c r="F12" s="401">
        <v>2.38</v>
      </c>
      <c r="G12" s="401">
        <v>0.88</v>
      </c>
      <c r="H12" s="401">
        <v>1.1200000000000001</v>
      </c>
      <c r="I12" s="401">
        <v>-0.54</v>
      </c>
      <c r="J12" s="401">
        <v>-6.07</v>
      </c>
      <c r="K12" s="401">
        <v>-7.22</v>
      </c>
      <c r="L12" s="401">
        <v>-23.72</v>
      </c>
      <c r="M12" s="401">
        <v>1.52</v>
      </c>
      <c r="N12" s="401">
        <v>0.28000000000000003</v>
      </c>
      <c r="O12" s="401">
        <v>6.39</v>
      </c>
      <c r="P12" s="401">
        <v>-3.88</v>
      </c>
      <c r="Q12" s="401">
        <v>-5.28</v>
      </c>
      <c r="R12" s="401">
        <v>-7.46</v>
      </c>
      <c r="S12" s="1152" t="s">
        <v>1471</v>
      </c>
      <c r="T12" s="401">
        <v>2.41</v>
      </c>
      <c r="U12" s="401">
        <v>0.05</v>
      </c>
      <c r="V12" s="401">
        <v>-13.86</v>
      </c>
      <c r="W12" s="401">
        <v>-5.49</v>
      </c>
      <c r="X12" s="401">
        <v>2.58</v>
      </c>
      <c r="Y12" s="401">
        <v>-6.27</v>
      </c>
      <c r="Z12" s="401">
        <v>-0.01</v>
      </c>
      <c r="AA12" s="401">
        <v>2.57</v>
      </c>
      <c r="AB12" s="401">
        <v>0.84</v>
      </c>
      <c r="AC12" s="401">
        <v>-5.58</v>
      </c>
      <c r="AD12" s="401">
        <v>-3.02</v>
      </c>
      <c r="AE12" s="401">
        <v>-4.18</v>
      </c>
      <c r="AF12" s="401">
        <v>0</v>
      </c>
      <c r="AG12" s="401">
        <v>1.03</v>
      </c>
      <c r="AH12" s="401">
        <v>2.52</v>
      </c>
      <c r="AI12" s="401">
        <v>-0.01</v>
      </c>
      <c r="AJ12" s="401">
        <v>0.55000000000000004</v>
      </c>
    </row>
    <row r="13" spans="1:36" s="280" customFormat="1" ht="12.95" customHeight="1">
      <c r="A13" s="633" t="s">
        <v>1600</v>
      </c>
      <c r="B13" s="417">
        <v>-4.54</v>
      </c>
      <c r="C13" s="417">
        <v>-0.92</v>
      </c>
      <c r="D13" s="417">
        <v>0.28000000000000003</v>
      </c>
      <c r="E13" s="417">
        <v>1.18</v>
      </c>
      <c r="F13" s="417">
        <v>-3.75</v>
      </c>
      <c r="G13" s="417">
        <v>-1.86</v>
      </c>
      <c r="H13" s="417">
        <v>-1.72</v>
      </c>
      <c r="I13" s="417">
        <v>0.45</v>
      </c>
      <c r="J13" s="417">
        <v>-0.16</v>
      </c>
      <c r="K13" s="417">
        <v>1.68</v>
      </c>
      <c r="L13" s="417">
        <v>1.4</v>
      </c>
      <c r="M13" s="417">
        <v>2.41</v>
      </c>
      <c r="N13" s="417">
        <v>-0.33</v>
      </c>
      <c r="O13" s="417">
        <v>-2.34</v>
      </c>
      <c r="P13" s="417">
        <v>-6.34</v>
      </c>
      <c r="Q13" s="417">
        <v>-4.32</v>
      </c>
      <c r="R13" s="417">
        <v>-0.55000000000000004</v>
      </c>
      <c r="S13" s="633" t="s">
        <v>1600</v>
      </c>
      <c r="T13" s="417">
        <v>-4.04</v>
      </c>
      <c r="U13" s="417">
        <v>0</v>
      </c>
      <c r="V13" s="417">
        <v>-25.37</v>
      </c>
      <c r="W13" s="417">
        <v>4.0599999999999996</v>
      </c>
      <c r="X13" s="417">
        <v>-0.01</v>
      </c>
      <c r="Y13" s="417">
        <v>-0.19</v>
      </c>
      <c r="Z13" s="417">
        <v>0</v>
      </c>
      <c r="AA13" s="417">
        <v>-3.63</v>
      </c>
      <c r="AB13" s="417">
        <v>1.1100000000000001</v>
      </c>
      <c r="AC13" s="417">
        <v>-3.46</v>
      </c>
      <c r="AD13" s="417">
        <v>-10.28</v>
      </c>
      <c r="AE13" s="417">
        <v>2.1800000000000002</v>
      </c>
      <c r="AF13" s="417">
        <v>0</v>
      </c>
      <c r="AG13" s="417">
        <v>-1.04</v>
      </c>
      <c r="AH13" s="417">
        <v>7.98</v>
      </c>
      <c r="AI13" s="417">
        <v>0</v>
      </c>
      <c r="AJ13" s="417">
        <v>-2.93</v>
      </c>
    </row>
    <row r="14" spans="1:36" s="310" customFormat="1" ht="12.95" customHeight="1">
      <c r="A14" s="618" t="s">
        <v>1695</v>
      </c>
      <c r="B14" s="672">
        <v>-2.21</v>
      </c>
      <c r="C14" s="672">
        <v>-0.47</v>
      </c>
      <c r="D14" s="672">
        <v>-0.16</v>
      </c>
      <c r="E14" s="672">
        <v>-4.1500000000000004</v>
      </c>
      <c r="F14" s="672">
        <v>-2.89</v>
      </c>
      <c r="G14" s="672">
        <v>-0.97</v>
      </c>
      <c r="H14" s="672">
        <v>-1.1299999999999999</v>
      </c>
      <c r="I14" s="672">
        <v>0.81</v>
      </c>
      <c r="J14" s="672">
        <v>-8.69</v>
      </c>
      <c r="K14" s="672">
        <v>-1.1000000000000001</v>
      </c>
      <c r="L14" s="672">
        <v>0</v>
      </c>
      <c r="M14" s="672">
        <v>0.3</v>
      </c>
      <c r="N14" s="672">
        <v>-1.4</v>
      </c>
      <c r="O14" s="672">
        <v>-3.45</v>
      </c>
      <c r="P14" s="672">
        <v>9.74</v>
      </c>
      <c r="Q14" s="672">
        <v>-0.86</v>
      </c>
      <c r="R14" s="672">
        <v>-4.4400000000000004</v>
      </c>
      <c r="S14" s="618" t="s">
        <v>1695</v>
      </c>
      <c r="T14" s="672">
        <v>-11.79</v>
      </c>
      <c r="U14" s="672">
        <v>0</v>
      </c>
      <c r="V14" s="672">
        <v>-2.67</v>
      </c>
      <c r="W14" s="672">
        <v>2.9</v>
      </c>
      <c r="X14" s="672">
        <v>0.01</v>
      </c>
      <c r="Y14" s="672">
        <v>-9.75</v>
      </c>
      <c r="Z14" s="672">
        <v>-0.02</v>
      </c>
      <c r="AA14" s="672">
        <v>-3.35</v>
      </c>
      <c r="AB14" s="672">
        <v>-2.94</v>
      </c>
      <c r="AC14" s="672">
        <v>-0.49</v>
      </c>
      <c r="AD14" s="672">
        <v>-5.18</v>
      </c>
      <c r="AE14" s="672">
        <v>2.61</v>
      </c>
      <c r="AF14" s="672">
        <v>0.16</v>
      </c>
      <c r="AG14" s="672">
        <v>-0.76</v>
      </c>
      <c r="AH14" s="672">
        <v>-0.63</v>
      </c>
      <c r="AI14" s="672">
        <v>0</v>
      </c>
      <c r="AJ14" s="672">
        <v>-3.12</v>
      </c>
    </row>
    <row r="15" spans="1:36" s="310" customFormat="1" ht="12.95" customHeight="1">
      <c r="A15" s="670" t="s">
        <v>1764</v>
      </c>
      <c r="B15" s="598">
        <v>9.42</v>
      </c>
      <c r="C15" s="598">
        <v>0.1</v>
      </c>
      <c r="D15" s="598">
        <v>0.16</v>
      </c>
      <c r="E15" s="598">
        <v>10.14</v>
      </c>
      <c r="F15" s="598">
        <v>9.59</v>
      </c>
      <c r="G15" s="598">
        <v>6.06</v>
      </c>
      <c r="H15" s="598">
        <v>5.83</v>
      </c>
      <c r="I15" s="598">
        <v>-0.17</v>
      </c>
      <c r="J15" s="598">
        <v>1.63</v>
      </c>
      <c r="K15" s="598">
        <v>-1.74</v>
      </c>
      <c r="L15" s="598">
        <v>0</v>
      </c>
      <c r="M15" s="598">
        <v>-2.66</v>
      </c>
      <c r="N15" s="598">
        <v>2.21</v>
      </c>
      <c r="O15" s="598">
        <v>3.03</v>
      </c>
      <c r="P15" s="598">
        <v>-16.13</v>
      </c>
      <c r="Q15" s="598">
        <v>3.65</v>
      </c>
      <c r="R15" s="598">
        <v>8.8800000000000008</v>
      </c>
      <c r="S15" s="670" t="s">
        <v>1764</v>
      </c>
      <c r="T15" s="1138">
        <v>12.92</v>
      </c>
      <c r="U15" s="1138">
        <v>0</v>
      </c>
      <c r="V15" s="1138">
        <v>5.84</v>
      </c>
      <c r="W15" s="1138">
        <v>2.21</v>
      </c>
      <c r="X15" s="1138">
        <v>-1.64</v>
      </c>
      <c r="Y15" s="1138">
        <v>-3.71</v>
      </c>
      <c r="Z15" s="1138">
        <v>0.02</v>
      </c>
      <c r="AA15" s="1138">
        <v>5.92</v>
      </c>
      <c r="AB15" s="1138">
        <v>3.59</v>
      </c>
      <c r="AC15" s="1138">
        <v>9.41</v>
      </c>
      <c r="AD15" s="1138">
        <v>-6.69</v>
      </c>
      <c r="AE15" s="1138">
        <v>3.32</v>
      </c>
      <c r="AF15" s="1138">
        <v>-79.510000000000005</v>
      </c>
      <c r="AG15" s="1138">
        <v>3.41</v>
      </c>
      <c r="AH15" s="1138">
        <v>-3.65</v>
      </c>
      <c r="AI15" s="1138">
        <v>0</v>
      </c>
      <c r="AJ15" s="1138">
        <v>12.51</v>
      </c>
    </row>
    <row r="16" spans="1:36" s="310" customFormat="1" ht="12.95" customHeight="1">
      <c r="A16" s="607" t="s">
        <v>606</v>
      </c>
      <c r="B16" s="401">
        <v>4.71</v>
      </c>
      <c r="C16" s="401">
        <v>0.12</v>
      </c>
      <c r="D16" s="401">
        <v>0.16</v>
      </c>
      <c r="E16" s="401">
        <v>2.38</v>
      </c>
      <c r="F16" s="401">
        <v>1.28</v>
      </c>
      <c r="G16" s="401">
        <v>5.0199999999999996</v>
      </c>
      <c r="H16" s="401">
        <v>4.8899999999999997</v>
      </c>
      <c r="I16" s="401">
        <v>0.01</v>
      </c>
      <c r="J16" s="401">
        <v>0.75</v>
      </c>
      <c r="K16" s="401">
        <v>-2.21</v>
      </c>
      <c r="L16" s="401">
        <v>0</v>
      </c>
      <c r="M16" s="401">
        <v>2.5299999999999998</v>
      </c>
      <c r="N16" s="401">
        <v>0.64</v>
      </c>
      <c r="O16" s="401">
        <v>0.88</v>
      </c>
      <c r="P16" s="401">
        <v>0.95</v>
      </c>
      <c r="Q16" s="401">
        <v>1.97</v>
      </c>
      <c r="R16" s="401">
        <v>3.86</v>
      </c>
      <c r="S16" s="607" t="s">
        <v>606</v>
      </c>
      <c r="T16" s="654">
        <v>7.12</v>
      </c>
      <c r="U16" s="654">
        <v>0</v>
      </c>
      <c r="V16" s="654">
        <v>0.52</v>
      </c>
      <c r="W16" s="654">
        <v>-0.03</v>
      </c>
      <c r="X16" s="654">
        <v>0</v>
      </c>
      <c r="Y16" s="654">
        <v>-3.46</v>
      </c>
      <c r="Z16" s="654">
        <v>0</v>
      </c>
      <c r="AA16" s="654">
        <v>0.45</v>
      </c>
      <c r="AB16" s="654">
        <v>1.47</v>
      </c>
      <c r="AC16" s="654">
        <v>6.92</v>
      </c>
      <c r="AD16" s="654">
        <v>0.23</v>
      </c>
      <c r="AE16" s="654">
        <v>4.25</v>
      </c>
      <c r="AF16" s="654">
        <v>-59.09</v>
      </c>
      <c r="AG16" s="654">
        <v>1.97</v>
      </c>
      <c r="AH16" s="654">
        <v>-1.55</v>
      </c>
      <c r="AI16" s="654">
        <v>0</v>
      </c>
      <c r="AJ16" s="654">
        <v>5.67</v>
      </c>
    </row>
    <row r="17" spans="1:37" s="310" customFormat="1" ht="12.95" customHeight="1">
      <c r="A17" s="610" t="s">
        <v>607</v>
      </c>
      <c r="B17" s="417">
        <v>2.4900000000000002</v>
      </c>
      <c r="C17" s="417">
        <v>-0.03</v>
      </c>
      <c r="D17" s="417">
        <v>0</v>
      </c>
      <c r="E17" s="417">
        <v>1.86</v>
      </c>
      <c r="F17" s="417">
        <v>1.89</v>
      </c>
      <c r="G17" s="417">
        <v>0.97</v>
      </c>
      <c r="H17" s="417">
        <v>0.96</v>
      </c>
      <c r="I17" s="417">
        <v>-0.01</v>
      </c>
      <c r="J17" s="417">
        <v>2.5099999999999998</v>
      </c>
      <c r="K17" s="417">
        <v>0.41</v>
      </c>
      <c r="L17" s="417">
        <v>0</v>
      </c>
      <c r="M17" s="417">
        <v>-0.41</v>
      </c>
      <c r="N17" s="417">
        <v>0.1</v>
      </c>
      <c r="O17" s="417">
        <v>1.85</v>
      </c>
      <c r="P17" s="417">
        <v>2.17</v>
      </c>
      <c r="Q17" s="417">
        <v>0.92</v>
      </c>
      <c r="R17" s="417">
        <v>1.1100000000000001</v>
      </c>
      <c r="S17" s="610" t="s">
        <v>607</v>
      </c>
      <c r="T17" s="653">
        <v>2.65</v>
      </c>
      <c r="U17" s="653">
        <v>0</v>
      </c>
      <c r="V17" s="653">
        <v>-0.39</v>
      </c>
      <c r="W17" s="653">
        <v>2.89</v>
      </c>
      <c r="X17" s="653">
        <v>-0.02</v>
      </c>
      <c r="Y17" s="653">
        <v>-2.1800000000000002</v>
      </c>
      <c r="Z17" s="653">
        <v>0.01</v>
      </c>
      <c r="AA17" s="653">
        <v>0.65</v>
      </c>
      <c r="AB17" s="653">
        <v>1.1299999999999999</v>
      </c>
      <c r="AC17" s="653">
        <v>1.17</v>
      </c>
      <c r="AD17" s="653">
        <v>-0.28000000000000003</v>
      </c>
      <c r="AE17" s="653">
        <v>0.95</v>
      </c>
      <c r="AF17" s="653">
        <v>0</v>
      </c>
      <c r="AG17" s="653">
        <v>0.82</v>
      </c>
      <c r="AH17" s="653">
        <v>1.05</v>
      </c>
      <c r="AI17" s="653">
        <v>0</v>
      </c>
      <c r="AJ17" s="653">
        <v>2.74</v>
      </c>
    </row>
    <row r="18" spans="1:37" s="310" customFormat="1" ht="12.95" customHeight="1">
      <c r="A18" s="607" t="s">
        <v>601</v>
      </c>
      <c r="B18" s="401">
        <v>-3.24</v>
      </c>
      <c r="C18" s="401">
        <v>-0.02</v>
      </c>
      <c r="D18" s="401">
        <v>-0.04</v>
      </c>
      <c r="E18" s="401">
        <v>-2.17</v>
      </c>
      <c r="F18" s="401">
        <v>0.74</v>
      </c>
      <c r="G18" s="401">
        <v>-1.41</v>
      </c>
      <c r="H18" s="401">
        <v>-1.35</v>
      </c>
      <c r="I18" s="401">
        <v>0.01</v>
      </c>
      <c r="J18" s="401">
        <v>-0.87</v>
      </c>
      <c r="K18" s="401">
        <v>-2.36</v>
      </c>
      <c r="L18" s="401">
        <v>0</v>
      </c>
      <c r="M18" s="401">
        <v>-0.28000000000000003</v>
      </c>
      <c r="N18" s="401">
        <v>-0.28000000000000003</v>
      </c>
      <c r="O18" s="401">
        <v>0.17</v>
      </c>
      <c r="P18" s="401">
        <v>2.37</v>
      </c>
      <c r="Q18" s="401">
        <v>-0.83</v>
      </c>
      <c r="R18" s="401">
        <v>-2.2999999999999998</v>
      </c>
      <c r="S18" s="607" t="s">
        <v>601</v>
      </c>
      <c r="T18" s="654">
        <v>-6.61</v>
      </c>
      <c r="U18" s="654">
        <v>0</v>
      </c>
      <c r="V18" s="654">
        <v>1.1100000000000001</v>
      </c>
      <c r="W18" s="654">
        <v>-0.06</v>
      </c>
      <c r="X18" s="654">
        <v>0.02</v>
      </c>
      <c r="Y18" s="654">
        <v>-5.93</v>
      </c>
      <c r="Z18" s="654">
        <v>-0.01</v>
      </c>
      <c r="AA18" s="654">
        <v>1.22</v>
      </c>
      <c r="AB18" s="654">
        <v>-0.77</v>
      </c>
      <c r="AC18" s="654">
        <v>-4</v>
      </c>
      <c r="AD18" s="654">
        <v>0.61</v>
      </c>
      <c r="AE18" s="654">
        <v>-1.68</v>
      </c>
      <c r="AF18" s="654">
        <v>0</v>
      </c>
      <c r="AG18" s="654">
        <v>-0.79</v>
      </c>
      <c r="AH18" s="654">
        <v>-1.99</v>
      </c>
      <c r="AI18" s="654">
        <v>0</v>
      </c>
      <c r="AJ18" s="654">
        <v>-3.66</v>
      </c>
    </row>
    <row r="19" spans="1:37" s="310" customFormat="1" ht="12.95" customHeight="1">
      <c r="A19" s="610" t="s">
        <v>608</v>
      </c>
      <c r="B19" s="417">
        <v>-1.1599999999999999</v>
      </c>
      <c r="C19" s="417">
        <v>0.05</v>
      </c>
      <c r="D19" s="417">
        <v>0.03</v>
      </c>
      <c r="E19" s="417">
        <v>0.51</v>
      </c>
      <c r="F19" s="417">
        <v>1.25</v>
      </c>
      <c r="G19" s="417">
        <v>0.04</v>
      </c>
      <c r="H19" s="417">
        <v>0.01</v>
      </c>
      <c r="I19" s="417">
        <v>0</v>
      </c>
      <c r="J19" s="417">
        <v>-0.57999999999999996</v>
      </c>
      <c r="K19" s="417">
        <v>1.88</v>
      </c>
      <c r="L19" s="417">
        <v>0</v>
      </c>
      <c r="M19" s="417">
        <v>1.28</v>
      </c>
      <c r="N19" s="417">
        <v>0.2</v>
      </c>
      <c r="O19" s="417">
        <v>0.05</v>
      </c>
      <c r="P19" s="417">
        <v>1.59</v>
      </c>
      <c r="Q19" s="417">
        <v>0.79</v>
      </c>
      <c r="R19" s="417">
        <v>0.76</v>
      </c>
      <c r="S19" s="610" t="s">
        <v>608</v>
      </c>
      <c r="T19" s="653">
        <v>0.54</v>
      </c>
      <c r="U19" s="653">
        <v>-0.01</v>
      </c>
      <c r="V19" s="653">
        <v>3.18</v>
      </c>
      <c r="W19" s="653">
        <v>0.1</v>
      </c>
      <c r="X19" s="653">
        <v>-0.02</v>
      </c>
      <c r="Y19" s="653">
        <v>-0.06</v>
      </c>
      <c r="Z19" s="653">
        <v>0.01</v>
      </c>
      <c r="AA19" s="653">
        <v>3.23</v>
      </c>
      <c r="AB19" s="653">
        <v>0.26</v>
      </c>
      <c r="AC19" s="653">
        <v>1.66</v>
      </c>
      <c r="AD19" s="653">
        <v>0.47</v>
      </c>
      <c r="AE19" s="653">
        <v>0.97</v>
      </c>
      <c r="AF19" s="653">
        <v>0</v>
      </c>
      <c r="AG19" s="653">
        <v>0.34</v>
      </c>
      <c r="AH19" s="653">
        <v>1.42</v>
      </c>
      <c r="AI19" s="653">
        <v>0</v>
      </c>
      <c r="AJ19" s="653">
        <v>0.93</v>
      </c>
    </row>
    <row r="20" spans="1:37" s="310" customFormat="1" ht="12.95" customHeight="1">
      <c r="A20" s="607" t="s">
        <v>609</v>
      </c>
      <c r="B20" s="401">
        <v>4.83</v>
      </c>
      <c r="C20" s="401">
        <v>0</v>
      </c>
      <c r="D20" s="401">
        <v>0</v>
      </c>
      <c r="E20" s="401">
        <v>2.56</v>
      </c>
      <c r="F20" s="401">
        <v>2.33</v>
      </c>
      <c r="G20" s="401">
        <v>1.87</v>
      </c>
      <c r="H20" s="401">
        <v>1.86</v>
      </c>
      <c r="I20" s="401">
        <v>-0.01</v>
      </c>
      <c r="J20" s="401">
        <v>0.34</v>
      </c>
      <c r="K20" s="401">
        <v>3.69</v>
      </c>
      <c r="L20" s="401">
        <v>0</v>
      </c>
      <c r="M20" s="401">
        <v>0.22</v>
      </c>
      <c r="N20" s="401">
        <v>0.08</v>
      </c>
      <c r="O20" s="401">
        <v>2.15</v>
      </c>
      <c r="P20" s="401">
        <v>-2.13</v>
      </c>
      <c r="Q20" s="401">
        <v>0.48</v>
      </c>
      <c r="R20" s="401">
        <v>5.84</v>
      </c>
      <c r="S20" s="607" t="s">
        <v>609</v>
      </c>
      <c r="T20" s="654">
        <v>6.07</v>
      </c>
      <c r="U20" s="654">
        <v>0.01</v>
      </c>
      <c r="V20" s="654">
        <v>0.76</v>
      </c>
      <c r="W20" s="654">
        <v>0.54</v>
      </c>
      <c r="X20" s="654">
        <v>0</v>
      </c>
      <c r="Y20" s="654">
        <v>3.86</v>
      </c>
      <c r="Z20" s="654">
        <v>-0.01</v>
      </c>
      <c r="AA20" s="654">
        <v>2.54</v>
      </c>
      <c r="AB20" s="654">
        <v>1.99</v>
      </c>
      <c r="AC20" s="654">
        <v>3.98</v>
      </c>
      <c r="AD20" s="654">
        <v>-0.56999999999999995</v>
      </c>
      <c r="AE20" s="654">
        <v>0.69</v>
      </c>
      <c r="AF20" s="654">
        <v>0</v>
      </c>
      <c r="AG20" s="654">
        <v>0.94</v>
      </c>
      <c r="AH20" s="654">
        <v>3.15</v>
      </c>
      <c r="AI20" s="654">
        <v>0</v>
      </c>
      <c r="AJ20" s="654">
        <v>2.57</v>
      </c>
    </row>
    <row r="21" spans="1:37" s="310" customFormat="1" ht="12.95" customHeight="1">
      <c r="A21" s="610" t="s">
        <v>602</v>
      </c>
      <c r="B21" s="417">
        <v>4.07</v>
      </c>
      <c r="C21" s="417">
        <v>0</v>
      </c>
      <c r="D21" s="417">
        <v>0</v>
      </c>
      <c r="E21" s="417">
        <v>1.79</v>
      </c>
      <c r="F21" s="417">
        <v>0.73</v>
      </c>
      <c r="G21" s="417">
        <v>2.83</v>
      </c>
      <c r="H21" s="417">
        <v>2.79</v>
      </c>
      <c r="I21" s="417">
        <v>-0.03</v>
      </c>
      <c r="J21" s="417">
        <v>1.08</v>
      </c>
      <c r="K21" s="417">
        <v>0.39</v>
      </c>
      <c r="L21" s="417">
        <v>0</v>
      </c>
      <c r="M21" s="417">
        <v>0.87</v>
      </c>
      <c r="N21" s="417">
        <v>0.36</v>
      </c>
      <c r="O21" s="417">
        <v>1.34</v>
      </c>
      <c r="P21" s="417">
        <v>-0.98</v>
      </c>
      <c r="Q21" s="417">
        <v>1.1100000000000001</v>
      </c>
      <c r="R21" s="417">
        <v>2.57</v>
      </c>
      <c r="S21" s="610" t="s">
        <v>602</v>
      </c>
      <c r="T21" s="653">
        <v>3.43</v>
      </c>
      <c r="U21" s="653">
        <v>0</v>
      </c>
      <c r="V21" s="653">
        <v>-0.79</v>
      </c>
      <c r="W21" s="653">
        <v>0.21</v>
      </c>
      <c r="X21" s="653">
        <v>0.02</v>
      </c>
      <c r="Y21" s="653">
        <v>3.36</v>
      </c>
      <c r="Z21" s="653">
        <v>-0.04</v>
      </c>
      <c r="AA21" s="653">
        <v>1.78</v>
      </c>
      <c r="AB21" s="653">
        <v>1.17</v>
      </c>
      <c r="AC21" s="653">
        <v>3.53</v>
      </c>
      <c r="AD21" s="653">
        <v>-0.38</v>
      </c>
      <c r="AE21" s="653">
        <v>2.62</v>
      </c>
      <c r="AF21" s="653">
        <v>0</v>
      </c>
      <c r="AG21" s="653">
        <v>1.05</v>
      </c>
      <c r="AH21" s="653">
        <v>1.1399999999999999</v>
      </c>
      <c r="AI21" s="653">
        <v>0</v>
      </c>
      <c r="AJ21" s="653">
        <v>2.3199999999999998</v>
      </c>
    </row>
    <row r="22" spans="1:37" s="310" customFormat="1" ht="12.95" customHeight="1">
      <c r="A22" s="607" t="s">
        <v>610</v>
      </c>
      <c r="B22" s="401">
        <v>-0.55000000000000004</v>
      </c>
      <c r="C22" s="401">
        <v>0</v>
      </c>
      <c r="D22" s="401">
        <v>0.01</v>
      </c>
      <c r="E22" s="401">
        <v>-0.15</v>
      </c>
      <c r="F22" s="401">
        <v>0.83</v>
      </c>
      <c r="G22" s="401">
        <v>-1.28</v>
      </c>
      <c r="H22" s="401">
        <v>-1.31</v>
      </c>
      <c r="I22" s="401">
        <v>-0.01</v>
      </c>
      <c r="J22" s="401">
        <v>0.33</v>
      </c>
      <c r="K22" s="401">
        <v>0.14000000000000001</v>
      </c>
      <c r="L22" s="401">
        <v>0</v>
      </c>
      <c r="M22" s="401">
        <v>-1.44</v>
      </c>
      <c r="N22" s="401">
        <v>0.51</v>
      </c>
      <c r="O22" s="401">
        <v>-0.68</v>
      </c>
      <c r="P22" s="401">
        <v>-0.15</v>
      </c>
      <c r="Q22" s="401">
        <v>0.03</v>
      </c>
      <c r="R22" s="401">
        <v>-0.19</v>
      </c>
      <c r="S22" s="607" t="s">
        <v>610</v>
      </c>
      <c r="T22" s="654">
        <v>-0.18</v>
      </c>
      <c r="U22" s="654">
        <v>0</v>
      </c>
      <c r="V22" s="654">
        <v>0.12</v>
      </c>
      <c r="W22" s="654">
        <v>-0.1</v>
      </c>
      <c r="X22" s="654">
        <v>-0.02</v>
      </c>
      <c r="Y22" s="654">
        <v>-2.99</v>
      </c>
      <c r="Z22" s="654">
        <v>0.03</v>
      </c>
      <c r="AA22" s="654">
        <v>-2.98</v>
      </c>
      <c r="AB22" s="654">
        <v>-0.44</v>
      </c>
      <c r="AC22" s="654">
        <v>-1.82</v>
      </c>
      <c r="AD22" s="654">
        <v>-2.4900000000000002</v>
      </c>
      <c r="AE22" s="654">
        <v>-1.04</v>
      </c>
      <c r="AF22" s="654">
        <v>0</v>
      </c>
      <c r="AG22" s="654">
        <v>0.03</v>
      </c>
      <c r="AH22" s="654">
        <v>0.22</v>
      </c>
      <c r="AI22" s="654">
        <v>0</v>
      </c>
      <c r="AJ22" s="654">
        <v>0.57999999999999996</v>
      </c>
    </row>
    <row r="23" spans="1:37" s="310" customFormat="1" ht="12.95" customHeight="1">
      <c r="A23" s="610" t="s">
        <v>611</v>
      </c>
      <c r="B23" s="417">
        <v>0.82</v>
      </c>
      <c r="C23" s="417">
        <v>0</v>
      </c>
      <c r="D23" s="417">
        <v>-0.01</v>
      </c>
      <c r="E23" s="417">
        <v>0.3</v>
      </c>
      <c r="F23" s="417">
        <v>-0.01</v>
      </c>
      <c r="G23" s="417">
        <v>-0.51</v>
      </c>
      <c r="H23" s="417">
        <v>-0.5</v>
      </c>
      <c r="I23" s="417">
        <v>-0.05</v>
      </c>
      <c r="J23" s="417">
        <v>-1.39</v>
      </c>
      <c r="K23" s="417">
        <v>-1.61</v>
      </c>
      <c r="L23" s="417">
        <v>0</v>
      </c>
      <c r="M23" s="417">
        <v>-1.78</v>
      </c>
      <c r="N23" s="417">
        <v>0.05</v>
      </c>
      <c r="O23" s="417">
        <v>-0.3</v>
      </c>
      <c r="P23" s="417">
        <v>-5.67</v>
      </c>
      <c r="Q23" s="417">
        <v>-0.1</v>
      </c>
      <c r="R23" s="417">
        <v>0.6</v>
      </c>
      <c r="S23" s="610" t="s">
        <v>611</v>
      </c>
      <c r="T23" s="653">
        <v>-1.1299999999999999</v>
      </c>
      <c r="U23" s="653">
        <v>0</v>
      </c>
      <c r="V23" s="653">
        <v>1.17</v>
      </c>
      <c r="W23" s="653">
        <v>-1.37</v>
      </c>
      <c r="X23" s="653">
        <v>0.01</v>
      </c>
      <c r="Y23" s="653">
        <v>1.95</v>
      </c>
      <c r="Z23" s="653">
        <v>0</v>
      </c>
      <c r="AA23" s="653">
        <v>-0.56999999999999995</v>
      </c>
      <c r="AB23" s="653">
        <v>-0.2</v>
      </c>
      <c r="AC23" s="653">
        <v>-0.89</v>
      </c>
      <c r="AD23" s="653">
        <v>-1.93</v>
      </c>
      <c r="AE23" s="653">
        <v>-1.98</v>
      </c>
      <c r="AF23" s="653">
        <v>0</v>
      </c>
      <c r="AG23" s="653">
        <v>-0.1</v>
      </c>
      <c r="AH23" s="653">
        <v>-2</v>
      </c>
      <c r="AI23" s="653">
        <v>0</v>
      </c>
      <c r="AJ23" s="653">
        <v>1.68</v>
      </c>
    </row>
    <row r="24" spans="1:37" s="310" customFormat="1" ht="12.95" customHeight="1">
      <c r="A24" s="607" t="s">
        <v>603</v>
      </c>
      <c r="B24" s="401">
        <v>-1.42</v>
      </c>
      <c r="C24" s="401">
        <v>0</v>
      </c>
      <c r="D24" s="401">
        <v>0.01</v>
      </c>
      <c r="E24" s="401">
        <v>0.83</v>
      </c>
      <c r="F24" s="401">
        <v>-1.52</v>
      </c>
      <c r="G24" s="401">
        <v>-2.95</v>
      </c>
      <c r="H24" s="401">
        <v>-2.98</v>
      </c>
      <c r="I24" s="401">
        <v>-0.24</v>
      </c>
      <c r="J24" s="401">
        <v>0.67</v>
      </c>
      <c r="K24" s="401">
        <v>-2.09</v>
      </c>
      <c r="L24" s="401">
        <v>0</v>
      </c>
      <c r="M24" s="401">
        <v>-3.42</v>
      </c>
      <c r="N24" s="401">
        <v>0.17</v>
      </c>
      <c r="O24" s="401">
        <v>-2.5099999999999998</v>
      </c>
      <c r="P24" s="401">
        <v>0</v>
      </c>
      <c r="Q24" s="401">
        <v>-1.33</v>
      </c>
      <c r="R24" s="401">
        <v>-3.5</v>
      </c>
      <c r="S24" s="607" t="s">
        <v>603</v>
      </c>
      <c r="T24" s="654">
        <v>1.1499999999999999</v>
      </c>
      <c r="U24" s="654">
        <v>0</v>
      </c>
      <c r="V24" s="654">
        <v>3.46</v>
      </c>
      <c r="W24" s="654">
        <v>0.41</v>
      </c>
      <c r="X24" s="654">
        <v>0.02</v>
      </c>
      <c r="Y24" s="654">
        <v>-2</v>
      </c>
      <c r="Z24" s="654">
        <v>0.01</v>
      </c>
      <c r="AA24" s="654">
        <v>-0.63</v>
      </c>
      <c r="AB24" s="654">
        <v>-1.21</v>
      </c>
      <c r="AC24" s="654">
        <v>-3.55</v>
      </c>
      <c r="AD24" s="654">
        <v>-2.75</v>
      </c>
      <c r="AE24" s="654">
        <v>-3.59</v>
      </c>
      <c r="AF24" s="654">
        <v>0</v>
      </c>
      <c r="AG24" s="654">
        <v>-1.56</v>
      </c>
      <c r="AH24" s="654">
        <v>-2.9</v>
      </c>
      <c r="AI24" s="654">
        <v>0</v>
      </c>
      <c r="AJ24" s="654">
        <v>-1.39</v>
      </c>
    </row>
    <row r="25" spans="1:37" s="310" customFormat="1" ht="12.95" customHeight="1">
      <c r="A25" s="610" t="s">
        <v>612</v>
      </c>
      <c r="B25" s="417">
        <v>2.56</v>
      </c>
      <c r="C25" s="417">
        <v>0</v>
      </c>
      <c r="D25" s="417">
        <v>0</v>
      </c>
      <c r="E25" s="417">
        <v>2.61</v>
      </c>
      <c r="F25" s="417">
        <v>1.54</v>
      </c>
      <c r="G25" s="417">
        <v>3.51</v>
      </c>
      <c r="H25" s="417">
        <v>3.49</v>
      </c>
      <c r="I25" s="417">
        <v>0.15</v>
      </c>
      <c r="J25" s="417">
        <v>-1.41</v>
      </c>
      <c r="K25" s="417">
        <v>0.64</v>
      </c>
      <c r="L25" s="417">
        <v>0</v>
      </c>
      <c r="M25" s="417">
        <v>1.62</v>
      </c>
      <c r="N25" s="417">
        <v>0.4</v>
      </c>
      <c r="O25" s="417">
        <v>1.38</v>
      </c>
      <c r="P25" s="417">
        <v>-9.4700000000000006</v>
      </c>
      <c r="Q25" s="417">
        <v>1.1299999999999999</v>
      </c>
      <c r="R25" s="417">
        <v>3.9</v>
      </c>
      <c r="S25" s="610" t="s">
        <v>612</v>
      </c>
      <c r="T25" s="653">
        <v>4.53</v>
      </c>
      <c r="U25" s="653">
        <v>0</v>
      </c>
      <c r="V25" s="653">
        <v>-0.26</v>
      </c>
      <c r="W25" s="653">
        <v>0.28000000000000003</v>
      </c>
      <c r="X25" s="653">
        <v>0</v>
      </c>
      <c r="Y25" s="653">
        <v>2.1</v>
      </c>
      <c r="Z25" s="653">
        <v>0.01</v>
      </c>
      <c r="AA25" s="653">
        <v>2.21</v>
      </c>
      <c r="AB25" s="653">
        <v>1.72</v>
      </c>
      <c r="AC25" s="653">
        <v>4.96</v>
      </c>
      <c r="AD25" s="653">
        <v>2.56</v>
      </c>
      <c r="AE25" s="653">
        <v>3.58</v>
      </c>
      <c r="AF25" s="653">
        <v>-49.93</v>
      </c>
      <c r="AG25" s="653">
        <v>1.48</v>
      </c>
      <c r="AH25" s="653">
        <v>0.42</v>
      </c>
      <c r="AI25" s="653">
        <v>0</v>
      </c>
      <c r="AJ25" s="653">
        <v>1.4</v>
      </c>
    </row>
    <row r="26" spans="1:37" s="310" customFormat="1" ht="12.95" customHeight="1">
      <c r="A26" s="607" t="s">
        <v>613</v>
      </c>
      <c r="B26" s="401">
        <v>-0.99</v>
      </c>
      <c r="C26" s="401">
        <v>0</v>
      </c>
      <c r="D26" s="401">
        <v>-0.01</v>
      </c>
      <c r="E26" s="401">
        <v>1.98</v>
      </c>
      <c r="F26" s="401">
        <v>1.62</v>
      </c>
      <c r="G26" s="401">
        <v>0.53</v>
      </c>
      <c r="H26" s="401">
        <v>0.54</v>
      </c>
      <c r="I26" s="401">
        <v>0.02</v>
      </c>
      <c r="J26" s="401">
        <v>2.88</v>
      </c>
      <c r="K26" s="401">
        <v>1.28</v>
      </c>
      <c r="L26" s="401">
        <v>0</v>
      </c>
      <c r="M26" s="401">
        <v>-1.1100000000000001</v>
      </c>
      <c r="N26" s="401">
        <v>7.0000000000000007E-2</v>
      </c>
      <c r="O26" s="401">
        <v>-0.85</v>
      </c>
      <c r="P26" s="401">
        <v>-5.38</v>
      </c>
      <c r="Q26" s="401">
        <v>0.57999999999999996</v>
      </c>
      <c r="R26" s="401">
        <v>-7.0000000000000007E-2</v>
      </c>
      <c r="S26" s="607" t="s">
        <v>613</v>
      </c>
      <c r="T26" s="654">
        <v>-2.27</v>
      </c>
      <c r="U26" s="654">
        <v>0</v>
      </c>
      <c r="V26" s="654">
        <v>-0.61</v>
      </c>
      <c r="W26" s="654">
        <v>1.46</v>
      </c>
      <c r="X26" s="654">
        <v>-0.6</v>
      </c>
      <c r="Y26" s="654">
        <v>1.32</v>
      </c>
      <c r="Z26" s="654">
        <v>-0.02</v>
      </c>
      <c r="AA26" s="654">
        <v>-0.37</v>
      </c>
      <c r="AB26" s="654">
        <v>0.19</v>
      </c>
      <c r="AC26" s="654">
        <v>0.31</v>
      </c>
      <c r="AD26" s="654">
        <v>-1.52</v>
      </c>
      <c r="AE26" s="654">
        <v>1.08</v>
      </c>
      <c r="AF26" s="654">
        <v>0</v>
      </c>
      <c r="AG26" s="654">
        <v>0.39</v>
      </c>
      <c r="AH26" s="654">
        <v>0.05</v>
      </c>
      <c r="AI26" s="654">
        <v>0</v>
      </c>
      <c r="AJ26" s="654">
        <v>1.83</v>
      </c>
    </row>
    <row r="27" spans="1:37" s="310" customFormat="1" ht="12.95" customHeight="1">
      <c r="A27" s="610" t="s">
        <v>604</v>
      </c>
      <c r="B27" s="417">
        <v>-2.62</v>
      </c>
      <c r="C27" s="417">
        <v>-0.01</v>
      </c>
      <c r="D27" s="417">
        <v>0.01</v>
      </c>
      <c r="E27" s="417">
        <v>-2.63</v>
      </c>
      <c r="F27" s="417">
        <v>-1.42</v>
      </c>
      <c r="G27" s="417">
        <v>-2.42</v>
      </c>
      <c r="H27" s="417">
        <v>-2.41</v>
      </c>
      <c r="I27" s="417">
        <v>-0.03</v>
      </c>
      <c r="J27" s="417">
        <v>-2.54</v>
      </c>
      <c r="K27" s="417">
        <v>-1.71</v>
      </c>
      <c r="L27" s="417">
        <v>0</v>
      </c>
      <c r="M27" s="417">
        <v>-0.62</v>
      </c>
      <c r="N27" s="417">
        <v>-0.1</v>
      </c>
      <c r="O27" s="417">
        <v>-0.4</v>
      </c>
      <c r="P27" s="417">
        <v>0</v>
      </c>
      <c r="Q27" s="417">
        <v>-1.1100000000000001</v>
      </c>
      <c r="R27" s="417">
        <v>-3.56</v>
      </c>
      <c r="S27" s="610" t="s">
        <v>604</v>
      </c>
      <c r="T27" s="653">
        <v>-2.25</v>
      </c>
      <c r="U27" s="653">
        <v>0</v>
      </c>
      <c r="V27" s="653">
        <v>-2.4300000000000002</v>
      </c>
      <c r="W27" s="653">
        <v>-2.0499999999999998</v>
      </c>
      <c r="X27" s="653">
        <v>-1.05</v>
      </c>
      <c r="Y27" s="653">
        <v>0.74</v>
      </c>
      <c r="Z27" s="653">
        <v>0.01</v>
      </c>
      <c r="AA27" s="653">
        <v>-1.6</v>
      </c>
      <c r="AB27" s="653">
        <v>-1.68</v>
      </c>
      <c r="AC27" s="653">
        <v>-2.57</v>
      </c>
      <c r="AD27" s="653">
        <v>-0.75</v>
      </c>
      <c r="AE27" s="653">
        <v>-2.27</v>
      </c>
      <c r="AF27" s="653">
        <v>0</v>
      </c>
      <c r="AG27" s="653">
        <v>-1.1599999999999999</v>
      </c>
      <c r="AH27" s="653">
        <v>-2.5299999999999998</v>
      </c>
      <c r="AI27" s="653">
        <v>0</v>
      </c>
      <c r="AJ27" s="653">
        <v>-2.48</v>
      </c>
    </row>
    <row r="28" spans="1:37" s="310" customFormat="1" ht="12.95" customHeight="1">
      <c r="A28" s="618" t="s">
        <v>2166</v>
      </c>
      <c r="B28" s="672">
        <v>-8.39</v>
      </c>
      <c r="C28" s="672">
        <v>-9.24</v>
      </c>
      <c r="D28" s="672">
        <v>0</v>
      </c>
      <c r="E28" s="672">
        <v>-3.81</v>
      </c>
      <c r="F28" s="672">
        <v>-3.74</v>
      </c>
      <c r="G28" s="672">
        <v>-12.29</v>
      </c>
      <c r="H28" s="672">
        <v>-12.24</v>
      </c>
      <c r="I28" s="672">
        <v>-1.06</v>
      </c>
      <c r="J28" s="672">
        <v>-5.88</v>
      </c>
      <c r="K28" s="672">
        <v>-2.3199999999999998</v>
      </c>
      <c r="L28" s="672">
        <v>0</v>
      </c>
      <c r="M28" s="672">
        <v>-19.09</v>
      </c>
      <c r="N28" s="672">
        <v>-1.86</v>
      </c>
      <c r="O28" s="672">
        <v>-5.71</v>
      </c>
      <c r="P28" s="672">
        <v>-11.1</v>
      </c>
      <c r="Q28" s="672">
        <v>-6.46</v>
      </c>
      <c r="R28" s="672">
        <v>-11.06</v>
      </c>
      <c r="S28" s="618" t="s">
        <v>2166</v>
      </c>
      <c r="T28" s="755">
        <v>-13.61</v>
      </c>
      <c r="U28" s="755">
        <v>0</v>
      </c>
      <c r="V28" s="755">
        <v>-22.47</v>
      </c>
      <c r="W28" s="755">
        <v>-11.25</v>
      </c>
      <c r="X28" s="755">
        <v>1.06</v>
      </c>
      <c r="Y28" s="755">
        <v>37.840000000000003</v>
      </c>
      <c r="Z28" s="755">
        <v>-0.05</v>
      </c>
      <c r="AA28" s="755">
        <v>-13.05</v>
      </c>
      <c r="AB28" s="755">
        <v>-3.47</v>
      </c>
      <c r="AC28" s="755">
        <v>-16.670000000000002</v>
      </c>
      <c r="AD28" s="755">
        <v>-44.74</v>
      </c>
      <c r="AE28" s="755">
        <v>-3.61</v>
      </c>
      <c r="AF28" s="755">
        <v>-0.04</v>
      </c>
      <c r="AG28" s="755">
        <v>-6.93</v>
      </c>
      <c r="AH28" s="755">
        <v>-9.18</v>
      </c>
      <c r="AI28" s="755">
        <v>0</v>
      </c>
      <c r="AJ28" s="755">
        <v>-12.36</v>
      </c>
    </row>
    <row r="29" spans="1:37" s="310" customFormat="1" ht="12.95" customHeight="1">
      <c r="A29" s="610" t="s">
        <v>606</v>
      </c>
      <c r="B29" s="417">
        <v>-1.8</v>
      </c>
      <c r="C29" s="417">
        <v>0.01</v>
      </c>
      <c r="D29" s="417">
        <v>0</v>
      </c>
      <c r="E29" s="417">
        <v>-1.02</v>
      </c>
      <c r="F29" s="417">
        <v>-0.53</v>
      </c>
      <c r="G29" s="417">
        <v>-0.47</v>
      </c>
      <c r="H29" s="417">
        <v>-0.45</v>
      </c>
      <c r="I29" s="417">
        <v>-0.22</v>
      </c>
      <c r="J29" s="417">
        <v>-0.27</v>
      </c>
      <c r="K29" s="417">
        <v>0.37</v>
      </c>
      <c r="L29" s="417">
        <v>0</v>
      </c>
      <c r="M29" s="417">
        <v>0.55000000000000004</v>
      </c>
      <c r="N29" s="417">
        <v>0.13</v>
      </c>
      <c r="O29" s="417">
        <v>-1.62</v>
      </c>
      <c r="P29" s="417">
        <v>0</v>
      </c>
      <c r="Q29" s="417">
        <v>-0.52</v>
      </c>
      <c r="R29" s="417">
        <v>-0.59</v>
      </c>
      <c r="S29" s="610" t="s">
        <v>606</v>
      </c>
      <c r="T29" s="653">
        <v>-2.7</v>
      </c>
      <c r="U29" s="653">
        <v>0</v>
      </c>
      <c r="V29" s="653">
        <v>-2.4</v>
      </c>
      <c r="W29" s="653">
        <v>-3.25</v>
      </c>
      <c r="X29" s="653">
        <v>1.67</v>
      </c>
      <c r="Y29" s="653">
        <v>-0.89</v>
      </c>
      <c r="Z29" s="653">
        <v>0</v>
      </c>
      <c r="AA29" s="653">
        <v>-1.37</v>
      </c>
      <c r="AB29" s="653">
        <v>-0.8</v>
      </c>
      <c r="AC29" s="653">
        <v>-0.71</v>
      </c>
      <c r="AD29" s="653">
        <v>0</v>
      </c>
      <c r="AE29" s="653">
        <v>1.18</v>
      </c>
      <c r="AF29" s="653">
        <v>0</v>
      </c>
      <c r="AG29" s="653">
        <v>0.06</v>
      </c>
      <c r="AH29" s="653">
        <v>-2.48</v>
      </c>
      <c r="AI29" s="653">
        <v>0</v>
      </c>
      <c r="AJ29" s="653">
        <v>0.46</v>
      </c>
    </row>
    <row r="30" spans="1:37" s="310" customFormat="1" ht="12.95" customHeight="1">
      <c r="A30" s="607" t="s">
        <v>607</v>
      </c>
      <c r="B30" s="401">
        <v>-1.0900000000000001</v>
      </c>
      <c r="C30" s="401">
        <v>-0.46</v>
      </c>
      <c r="D30" s="401">
        <v>0</v>
      </c>
      <c r="E30" s="401">
        <v>-0.59</v>
      </c>
      <c r="F30" s="401">
        <v>0.41</v>
      </c>
      <c r="G30" s="401">
        <v>-0.38</v>
      </c>
      <c r="H30" s="401">
        <v>-0.4</v>
      </c>
      <c r="I30" s="401">
        <v>-7.0000000000000007E-2</v>
      </c>
      <c r="J30" s="401">
        <v>1.64</v>
      </c>
      <c r="K30" s="401">
        <v>1.17</v>
      </c>
      <c r="L30" s="401">
        <v>0</v>
      </c>
      <c r="M30" s="401">
        <v>-0.01</v>
      </c>
      <c r="N30" s="401">
        <v>-0.03</v>
      </c>
      <c r="O30" s="401">
        <v>1.58</v>
      </c>
      <c r="P30" s="401">
        <v>0</v>
      </c>
      <c r="Q30" s="401">
        <v>-0.08</v>
      </c>
      <c r="R30" s="401">
        <v>0.72</v>
      </c>
      <c r="S30" s="607" t="s">
        <v>607</v>
      </c>
      <c r="T30" s="654">
        <v>1.57</v>
      </c>
      <c r="U30" s="654">
        <v>0</v>
      </c>
      <c r="V30" s="654">
        <v>-1.97</v>
      </c>
      <c r="W30" s="654">
        <v>1.1299999999999999</v>
      </c>
      <c r="X30" s="654">
        <v>-1.44</v>
      </c>
      <c r="Y30" s="654">
        <v>-0.04</v>
      </c>
      <c r="Z30" s="654">
        <v>0</v>
      </c>
      <c r="AA30" s="654">
        <v>-1.47</v>
      </c>
      <c r="AB30" s="654">
        <v>0.79</v>
      </c>
      <c r="AC30" s="654">
        <v>-0.34</v>
      </c>
      <c r="AD30" s="654">
        <v>0</v>
      </c>
      <c r="AE30" s="654">
        <v>-0.75</v>
      </c>
      <c r="AF30" s="654">
        <v>-0.04</v>
      </c>
      <c r="AG30" s="654">
        <v>-0.34</v>
      </c>
      <c r="AH30" s="654">
        <v>1.64</v>
      </c>
      <c r="AI30" s="654">
        <v>0</v>
      </c>
      <c r="AJ30" s="654">
        <v>-1.01</v>
      </c>
    </row>
    <row r="31" spans="1:37" s="310" customFormat="1" ht="12.95" customHeight="1">
      <c r="A31" s="610" t="s">
        <v>601</v>
      </c>
      <c r="B31" s="417">
        <v>-1.63</v>
      </c>
      <c r="C31" s="417">
        <v>-0.35</v>
      </c>
      <c r="D31" s="417">
        <v>0</v>
      </c>
      <c r="E31" s="417">
        <v>-1.2</v>
      </c>
      <c r="F31" s="417">
        <v>-0.27</v>
      </c>
      <c r="G31" s="417">
        <v>-1.7</v>
      </c>
      <c r="H31" s="417">
        <v>-1.7</v>
      </c>
      <c r="I31" s="417">
        <v>0.01</v>
      </c>
      <c r="J31" s="417">
        <v>-1.35</v>
      </c>
      <c r="K31" s="417">
        <v>-0.02</v>
      </c>
      <c r="L31" s="417">
        <v>0</v>
      </c>
      <c r="M31" s="417">
        <v>-1.82</v>
      </c>
      <c r="N31" s="417">
        <v>-0.28000000000000003</v>
      </c>
      <c r="O31" s="417">
        <v>-0.74</v>
      </c>
      <c r="P31" s="417">
        <v>-12.05</v>
      </c>
      <c r="Q31" s="417">
        <v>-0.34</v>
      </c>
      <c r="R31" s="417">
        <v>-1.81</v>
      </c>
      <c r="S31" s="610" t="s">
        <v>601</v>
      </c>
      <c r="T31" s="653">
        <v>-1.17</v>
      </c>
      <c r="U31" s="653">
        <v>0</v>
      </c>
      <c r="V31" s="653">
        <v>-3.14</v>
      </c>
      <c r="W31" s="653">
        <v>-2.3199999999999998</v>
      </c>
      <c r="X31" s="653">
        <v>0.66</v>
      </c>
      <c r="Y31" s="653">
        <v>1.06</v>
      </c>
      <c r="Z31" s="653">
        <v>-0.01</v>
      </c>
      <c r="AA31" s="653">
        <v>-1.96</v>
      </c>
      <c r="AB31" s="653">
        <v>-1.1299999999999999</v>
      </c>
      <c r="AC31" s="653">
        <v>-2.11</v>
      </c>
      <c r="AD31" s="653">
        <v>-0.13</v>
      </c>
      <c r="AE31" s="653">
        <v>-1.93</v>
      </c>
      <c r="AF31" s="653">
        <v>0</v>
      </c>
      <c r="AG31" s="653">
        <v>-0.64</v>
      </c>
      <c r="AH31" s="653">
        <v>-4.6399999999999997</v>
      </c>
      <c r="AI31" s="653">
        <v>0</v>
      </c>
      <c r="AJ31" s="653">
        <v>-2.42</v>
      </c>
      <c r="AK31" s="1276"/>
    </row>
    <row r="32" spans="1:37" s="310" customFormat="1" ht="12.95" customHeight="1">
      <c r="A32" s="607" t="s">
        <v>608</v>
      </c>
      <c r="B32" s="401">
        <v>4.8</v>
      </c>
      <c r="C32" s="401">
        <v>-0.2</v>
      </c>
      <c r="D32" s="401">
        <v>0</v>
      </c>
      <c r="E32" s="401">
        <v>2.96</v>
      </c>
      <c r="F32" s="401">
        <v>1.48</v>
      </c>
      <c r="G32" s="401">
        <v>-0.33</v>
      </c>
      <c r="H32" s="401">
        <v>-0.28999999999999998</v>
      </c>
      <c r="I32" s="401">
        <v>0.09</v>
      </c>
      <c r="J32" s="401">
        <v>-0.85</v>
      </c>
      <c r="K32" s="401">
        <v>1.08</v>
      </c>
      <c r="L32" s="401">
        <v>0</v>
      </c>
      <c r="M32" s="401">
        <v>-1.8</v>
      </c>
      <c r="N32" s="401">
        <v>-0.02</v>
      </c>
      <c r="O32" s="401">
        <v>1.1299999999999999</v>
      </c>
      <c r="P32" s="401">
        <v>4.26</v>
      </c>
      <c r="Q32" s="401">
        <v>0.01</v>
      </c>
      <c r="R32" s="401">
        <v>4.2699999999999996</v>
      </c>
      <c r="S32" s="607" t="s">
        <v>608</v>
      </c>
      <c r="T32" s="654">
        <v>3.88</v>
      </c>
      <c r="U32" s="654">
        <v>0</v>
      </c>
      <c r="V32" s="654">
        <v>-0.48</v>
      </c>
      <c r="W32" s="654">
        <v>0.85</v>
      </c>
      <c r="X32" s="654">
        <v>0.28999999999999998</v>
      </c>
      <c r="Y32" s="654">
        <v>2.52</v>
      </c>
      <c r="Z32" s="654">
        <v>0</v>
      </c>
      <c r="AA32" s="654">
        <v>0.94</v>
      </c>
      <c r="AB32" s="654">
        <v>0.88</v>
      </c>
      <c r="AC32" s="654">
        <v>2.46</v>
      </c>
      <c r="AD32" s="654">
        <v>-0.62</v>
      </c>
      <c r="AE32" s="654">
        <v>2.09</v>
      </c>
      <c r="AF32" s="654">
        <v>0</v>
      </c>
      <c r="AG32" s="654">
        <v>0.13</v>
      </c>
      <c r="AH32" s="654">
        <v>1.85</v>
      </c>
      <c r="AI32" s="654">
        <v>0</v>
      </c>
      <c r="AJ32" s="654">
        <v>1.98</v>
      </c>
      <c r="AK32" s="1276"/>
    </row>
    <row r="33" spans="1:37" s="310" customFormat="1" ht="12.95" customHeight="1">
      <c r="A33" s="610" t="s">
        <v>609</v>
      </c>
      <c r="B33" s="417">
        <v>-5.04</v>
      </c>
      <c r="C33" s="417">
        <v>-0.15</v>
      </c>
      <c r="D33" s="417">
        <v>-0.01</v>
      </c>
      <c r="E33" s="417">
        <v>-2.76</v>
      </c>
      <c r="F33" s="417">
        <v>0.18</v>
      </c>
      <c r="G33" s="417">
        <v>-2.31</v>
      </c>
      <c r="H33" s="417">
        <v>-2.34</v>
      </c>
      <c r="I33" s="417">
        <v>-0.27</v>
      </c>
      <c r="J33" s="417">
        <v>-0.15</v>
      </c>
      <c r="K33" s="417">
        <v>-1.05</v>
      </c>
      <c r="L33" s="417">
        <v>0</v>
      </c>
      <c r="M33" s="417">
        <v>0.43</v>
      </c>
      <c r="N33" s="417">
        <v>-0.33</v>
      </c>
      <c r="O33" s="417">
        <v>-2.0099999999999998</v>
      </c>
      <c r="P33" s="417">
        <v>0.24</v>
      </c>
      <c r="Q33" s="417">
        <v>-1.46</v>
      </c>
      <c r="R33" s="417">
        <v>-4.76</v>
      </c>
      <c r="S33" s="610" t="s">
        <v>609</v>
      </c>
      <c r="T33" s="653">
        <v>-6.38</v>
      </c>
      <c r="U33" s="653">
        <v>0</v>
      </c>
      <c r="V33" s="653">
        <v>-2.72</v>
      </c>
      <c r="W33" s="653">
        <v>0.48</v>
      </c>
      <c r="X33" s="653">
        <v>-0.26</v>
      </c>
      <c r="Y33" s="653">
        <v>-4.67</v>
      </c>
      <c r="Z33" s="653">
        <v>-0.01</v>
      </c>
      <c r="AA33" s="653">
        <v>-1.1100000000000001</v>
      </c>
      <c r="AB33" s="653">
        <v>-1.46</v>
      </c>
      <c r="AC33" s="653">
        <v>-5.15</v>
      </c>
      <c r="AD33" s="653">
        <v>-0.86</v>
      </c>
      <c r="AE33" s="653">
        <v>-0.8</v>
      </c>
      <c r="AF33" s="653">
        <v>0.04</v>
      </c>
      <c r="AG33" s="653">
        <v>-1.23</v>
      </c>
      <c r="AH33" s="653">
        <v>-1.22</v>
      </c>
      <c r="AI33" s="653">
        <v>0</v>
      </c>
      <c r="AJ33" s="653">
        <v>-2.76</v>
      </c>
      <c r="AK33" s="1276"/>
    </row>
    <row r="34" spans="1:37" s="310" customFormat="1" ht="12.95" customHeight="1">
      <c r="A34" s="607" t="s">
        <v>602</v>
      </c>
      <c r="B34" s="401">
        <v>1.4839862903904799</v>
      </c>
      <c r="C34" s="401">
        <v>0</v>
      </c>
      <c r="D34" s="401">
        <v>0</v>
      </c>
      <c r="E34" s="401">
        <v>-0.38702111024237701</v>
      </c>
      <c r="F34" s="401">
        <v>0.188459967961805</v>
      </c>
      <c r="G34" s="401">
        <v>0.502842318110717</v>
      </c>
      <c r="H34" s="401">
        <v>0.509186166384062</v>
      </c>
      <c r="I34" s="401">
        <v>3.7194030999300999E-2</v>
      </c>
      <c r="J34" s="401">
        <v>0.64369049215502205</v>
      </c>
      <c r="K34" s="401">
        <v>0.34341381364544299</v>
      </c>
      <c r="L34" s="401">
        <v>0</v>
      </c>
      <c r="M34" s="401">
        <v>-1.2396155017180599</v>
      </c>
      <c r="N34" s="401">
        <v>3.3046926635822899E-2</v>
      </c>
      <c r="O34" s="401">
        <v>1.33077568636854</v>
      </c>
      <c r="P34" s="401">
        <v>0.71709786276715404</v>
      </c>
      <c r="Q34" s="401">
        <v>0.34411391991177098</v>
      </c>
      <c r="R34" s="401">
        <v>8.0587692859810101E-2</v>
      </c>
      <c r="S34" s="607" t="s">
        <v>602</v>
      </c>
      <c r="T34" s="654">
        <v>2.7347798849592801</v>
      </c>
      <c r="U34" s="654">
        <v>0</v>
      </c>
      <c r="V34" s="654">
        <v>-1.1619767604647899</v>
      </c>
      <c r="W34" s="654">
        <v>-1.46943573667712</v>
      </c>
      <c r="X34" s="654">
        <v>0.77039274924471302</v>
      </c>
      <c r="Y34" s="654">
        <v>0.70489434027627396</v>
      </c>
      <c r="Z34" s="654">
        <v>-7.05904290033431E-2</v>
      </c>
      <c r="AA34" s="654">
        <v>0.20288852519867001</v>
      </c>
      <c r="AB34" s="654">
        <v>1.2348874181979499</v>
      </c>
      <c r="AC34" s="654">
        <v>0.25293336285145002</v>
      </c>
      <c r="AD34" s="654">
        <v>-6.16142945163278E-2</v>
      </c>
      <c r="AE34" s="654">
        <v>0.92931722516809701</v>
      </c>
      <c r="AF34" s="654">
        <v>-3.98009950248756E-2</v>
      </c>
      <c r="AG34" s="654">
        <v>0.111966410076977</v>
      </c>
      <c r="AH34" s="654">
        <v>0.98861593768723799</v>
      </c>
      <c r="AI34" s="654">
        <v>1.3612665223724099E-3</v>
      </c>
      <c r="AJ34" s="654">
        <v>1.29929343376159</v>
      </c>
    </row>
    <row r="35" spans="1:37" s="310" customFormat="1" ht="12.95" customHeight="1">
      <c r="A35" s="610" t="s">
        <v>610</v>
      </c>
      <c r="B35" s="417">
        <v>-3.6142917665719199</v>
      </c>
      <c r="C35" s="417">
        <v>-0.232558139534884</v>
      </c>
      <c r="D35" s="417">
        <v>0</v>
      </c>
      <c r="E35" s="417">
        <v>0.207623300818741</v>
      </c>
      <c r="F35" s="417">
        <v>-0.11294826342045</v>
      </c>
      <c r="G35" s="417">
        <v>-1.85131097081489</v>
      </c>
      <c r="H35" s="417">
        <v>-1.8061675140773501</v>
      </c>
      <c r="I35" s="417">
        <v>6.0316339953158597E-2</v>
      </c>
      <c r="J35" s="417">
        <v>-0.634674860719316</v>
      </c>
      <c r="K35" s="417">
        <v>-0.90631293839850002</v>
      </c>
      <c r="L35" s="417">
        <v>0</v>
      </c>
      <c r="M35" s="417">
        <v>-0.26029239512385599</v>
      </c>
      <c r="N35" s="417">
        <v>-9.9042588312974605E-2</v>
      </c>
      <c r="O35" s="417">
        <v>-0.44163284793506802</v>
      </c>
      <c r="P35" s="417">
        <v>0</v>
      </c>
      <c r="Q35" s="417">
        <v>-0.63590799091008099</v>
      </c>
      <c r="R35" s="417">
        <v>-4.3115522578524796</v>
      </c>
      <c r="S35" s="610" t="s">
        <v>610</v>
      </c>
      <c r="T35" s="653">
        <v>-2.3241066263183701</v>
      </c>
      <c r="U35" s="653">
        <v>0</v>
      </c>
      <c r="V35" s="653">
        <v>1.03253182461103</v>
      </c>
      <c r="W35" s="653">
        <v>-0.27354435326299298</v>
      </c>
      <c r="X35" s="653">
        <v>-0.46473482777474001</v>
      </c>
      <c r="Y35" s="653">
        <v>-5.2553572848047203</v>
      </c>
      <c r="Z35" s="653">
        <v>5.7304299155094801E-2</v>
      </c>
      <c r="AA35" s="653">
        <v>-2.0893303322526702</v>
      </c>
      <c r="AB35" s="653">
        <v>-0.19188899959408101</v>
      </c>
      <c r="AC35" s="653">
        <v>-4.05131990504968</v>
      </c>
      <c r="AD35" s="653">
        <v>0.197555253735029</v>
      </c>
      <c r="AE35" s="653">
        <v>-1.7403448461083999</v>
      </c>
      <c r="AF35" s="653">
        <v>0</v>
      </c>
      <c r="AG35" s="653">
        <v>-0.62586926286509004</v>
      </c>
      <c r="AH35" s="653">
        <v>-0.194348931080879</v>
      </c>
      <c r="AI35" s="653">
        <v>0</v>
      </c>
      <c r="AJ35" s="653">
        <v>-0.61165386340133898</v>
      </c>
    </row>
    <row r="36" spans="1:37" s="310" customFormat="1" ht="12.95" customHeight="1">
      <c r="A36" s="607" t="s">
        <v>611</v>
      </c>
      <c r="B36" s="401">
        <v>3.5351308893387299</v>
      </c>
      <c r="C36" s="401">
        <v>0</v>
      </c>
      <c r="D36" s="401">
        <v>1.3262599469495999E-2</v>
      </c>
      <c r="E36" s="401">
        <v>0.44068463505803701</v>
      </c>
      <c r="F36" s="401">
        <v>0.82882540887665701</v>
      </c>
      <c r="G36" s="401">
        <v>1.13459921683872</v>
      </c>
      <c r="H36" s="401">
        <v>1.1126066212873</v>
      </c>
      <c r="I36" s="401">
        <v>-0.20491147184068101</v>
      </c>
      <c r="J36" s="401">
        <v>-3.8228438228438202E-2</v>
      </c>
      <c r="K36" s="401">
        <v>0.22273265121458899</v>
      </c>
      <c r="L36" s="401">
        <v>0</v>
      </c>
      <c r="M36" s="401">
        <v>-0.27687648712956903</v>
      </c>
      <c r="N36" s="401">
        <v>-9.8944591029023699E-2</v>
      </c>
      <c r="O36" s="401">
        <v>-0.32123735871505099</v>
      </c>
      <c r="P36" s="401">
        <v>-8.4357337682422692E-3</v>
      </c>
      <c r="Q36" s="401">
        <v>0.25167585839601703</v>
      </c>
      <c r="R36" s="401">
        <v>3.0599760847273498</v>
      </c>
      <c r="S36" s="607" t="s">
        <v>611</v>
      </c>
      <c r="T36" s="654">
        <v>1.7224598809442999</v>
      </c>
      <c r="U36" s="654">
        <v>0</v>
      </c>
      <c r="V36" s="654">
        <v>-0.36640360766629099</v>
      </c>
      <c r="W36" s="654">
        <v>-0.46674445740956799</v>
      </c>
      <c r="X36" s="654">
        <v>-0.13650013650013701</v>
      </c>
      <c r="Y36" s="654">
        <v>-25.908749798140001</v>
      </c>
      <c r="Z36" s="654">
        <v>5.33091665111816E-3</v>
      </c>
      <c r="AA36" s="654">
        <v>0.351448689734631</v>
      </c>
      <c r="AB36" s="654">
        <v>9.6036641672515105E-2</v>
      </c>
      <c r="AC36" s="654">
        <v>-1.7109720388126499</v>
      </c>
      <c r="AD36" s="654">
        <v>0.235148514851485</v>
      </c>
      <c r="AE36" s="654">
        <v>0.616116305463979</v>
      </c>
      <c r="AF36" s="654">
        <v>0</v>
      </c>
      <c r="AG36" s="654">
        <v>0.25097601784718299</v>
      </c>
      <c r="AH36" s="654">
        <v>2.0753853197008998</v>
      </c>
      <c r="AI36" s="654">
        <v>1.36128505309012E-3</v>
      </c>
      <c r="AJ36" s="654">
        <v>1.11884637553921E-2</v>
      </c>
    </row>
    <row r="37" spans="1:37" s="310" customFormat="1" ht="12.95" customHeight="1">
      <c r="A37" s="610" t="s">
        <v>603</v>
      </c>
      <c r="B37" s="417">
        <v>3.82</v>
      </c>
      <c r="C37" s="417">
        <v>-0.23</v>
      </c>
      <c r="D37" s="417">
        <v>0</v>
      </c>
      <c r="E37" s="417">
        <v>1.8</v>
      </c>
      <c r="F37" s="417">
        <v>-0.41</v>
      </c>
      <c r="G37" s="417">
        <v>-0.96</v>
      </c>
      <c r="H37" s="417">
        <v>-0.99</v>
      </c>
      <c r="I37" s="417">
        <v>-0.24</v>
      </c>
      <c r="J37" s="417">
        <v>-0.99</v>
      </c>
      <c r="K37" s="417">
        <v>7.0000000000000007E-2</v>
      </c>
      <c r="L37" s="417">
        <v>0</v>
      </c>
      <c r="M37" s="417">
        <v>-5.12</v>
      </c>
      <c r="N37" s="417">
        <v>-0.25</v>
      </c>
      <c r="O37" s="417">
        <v>-0.05</v>
      </c>
      <c r="P37" s="417">
        <v>0</v>
      </c>
      <c r="Q37" s="417">
        <v>-1.1599999999999999</v>
      </c>
      <c r="R37" s="417">
        <v>3.59</v>
      </c>
      <c r="S37" s="610" t="s">
        <v>603</v>
      </c>
      <c r="T37" s="653">
        <v>3.17</v>
      </c>
      <c r="U37" s="653">
        <v>0</v>
      </c>
      <c r="V37" s="653">
        <v>-2.9</v>
      </c>
      <c r="W37" s="653">
        <v>-1</v>
      </c>
      <c r="X37" s="653">
        <v>0</v>
      </c>
      <c r="Y37" s="653">
        <v>26.07</v>
      </c>
      <c r="Z37" s="653">
        <v>0.01</v>
      </c>
      <c r="AA37" s="653">
        <v>-0.33</v>
      </c>
      <c r="AB37" s="653">
        <v>0.09</v>
      </c>
      <c r="AC37" s="653">
        <v>3.45</v>
      </c>
      <c r="AD37" s="653">
        <v>-30.94</v>
      </c>
      <c r="AE37" s="653">
        <v>0.2</v>
      </c>
      <c r="AF37" s="653">
        <v>0</v>
      </c>
      <c r="AG37" s="653">
        <v>-0.79</v>
      </c>
      <c r="AH37" s="653">
        <v>-1.81</v>
      </c>
      <c r="AI37" s="653">
        <v>0</v>
      </c>
      <c r="AJ37" s="653">
        <v>-2.0499999999999998</v>
      </c>
    </row>
    <row r="38" spans="1:37" s="310" customFormat="1" ht="12.95" customHeight="1">
      <c r="A38" s="607" t="s">
        <v>612</v>
      </c>
      <c r="B38" s="401">
        <v>-5.0998670299130202</v>
      </c>
      <c r="C38" s="401">
        <v>-0.289184499710816</v>
      </c>
      <c r="D38" s="401">
        <v>-1.3260840737302699E-2</v>
      </c>
      <c r="E38" s="401">
        <v>-2.6288076758063901</v>
      </c>
      <c r="F38" s="401">
        <v>-3.2699457548607298</v>
      </c>
      <c r="G38" s="401">
        <v>-5.4366177200822898</v>
      </c>
      <c r="H38" s="401">
        <v>-5.3862702968042999</v>
      </c>
      <c r="I38" s="401">
        <v>-0.244696646254038</v>
      </c>
      <c r="J38" s="401">
        <v>-1.05634032557988</v>
      </c>
      <c r="K38" s="401">
        <v>-0.79461046812921099</v>
      </c>
      <c r="L38" s="401">
        <v>0</v>
      </c>
      <c r="M38" s="401">
        <v>-5.1543582356834197</v>
      </c>
      <c r="N38" s="401">
        <v>-0.76722167809337205</v>
      </c>
      <c r="O38" s="401">
        <v>-3.58862646182068</v>
      </c>
      <c r="P38" s="401">
        <v>-3.9616527140156599</v>
      </c>
      <c r="Q38" s="401">
        <v>-1.7924203442315201</v>
      </c>
      <c r="R38" s="401">
        <v>-6.1841600962760399</v>
      </c>
      <c r="S38" s="607" t="s">
        <v>612</v>
      </c>
      <c r="T38" s="654">
        <v>-8.1851315859998905</v>
      </c>
      <c r="U38" s="654">
        <v>0</v>
      </c>
      <c r="V38" s="654">
        <v>-1.3232514177693799</v>
      </c>
      <c r="W38" s="654">
        <v>-0.34535686876438998</v>
      </c>
      <c r="X38" s="654">
        <v>0.19420662490768301</v>
      </c>
      <c r="Y38" s="654">
        <v>12.8378378378378</v>
      </c>
      <c r="Z38" s="654">
        <v>1.4663538445131701E-2</v>
      </c>
      <c r="AA38" s="654">
        <v>-4.7497452402217499</v>
      </c>
      <c r="AB38" s="654">
        <v>-2.0956241630171202</v>
      </c>
      <c r="AC38" s="654">
        <v>-6.1982717575192696</v>
      </c>
      <c r="AD38" s="654">
        <v>-17.604473302440901</v>
      </c>
      <c r="AE38" s="654">
        <v>-4.7260344649675003</v>
      </c>
      <c r="AF38" s="654">
        <v>0</v>
      </c>
      <c r="AG38" s="654">
        <v>-3.00550114048034</v>
      </c>
      <c r="AH38" s="654">
        <v>-3.1209174045579902</v>
      </c>
      <c r="AI38" s="654">
        <v>0</v>
      </c>
      <c r="AJ38" s="654">
        <v>-4.4355618122513496</v>
      </c>
    </row>
    <row r="39" spans="1:37" s="310" customFormat="1" ht="12.95" customHeight="1">
      <c r="A39" s="610" t="s">
        <v>613</v>
      </c>
      <c r="B39" s="417">
        <v>0.99620578082451605</v>
      </c>
      <c r="C39" s="417">
        <v>-2.8651685393258401</v>
      </c>
      <c r="D39" s="417">
        <v>1.3262599469495999E-2</v>
      </c>
      <c r="E39" s="417">
        <v>1.29587926198096</v>
      </c>
      <c r="F39" s="417">
        <v>-1.46981548485895</v>
      </c>
      <c r="G39" s="417">
        <v>2.11961403610443</v>
      </c>
      <c r="H39" s="417">
        <v>2.1028702829521899</v>
      </c>
      <c r="I39" s="417">
        <v>-2.80302982041498E-2</v>
      </c>
      <c r="J39" s="417">
        <v>-1.1878221155148001</v>
      </c>
      <c r="K39" s="417">
        <v>-0.85631101215961603</v>
      </c>
      <c r="L39" s="417">
        <v>0</v>
      </c>
      <c r="M39" s="417">
        <v>0.68200525222435604</v>
      </c>
      <c r="N39" s="417">
        <v>8.1685999019768002E-2</v>
      </c>
      <c r="O39" s="417">
        <v>-0.33139069820591899</v>
      </c>
      <c r="P39" s="417">
        <v>0</v>
      </c>
      <c r="Q39" s="417">
        <v>-0.30292885175824003</v>
      </c>
      <c r="R39" s="417">
        <v>0.152765075856234</v>
      </c>
      <c r="S39" s="610" t="s">
        <v>613</v>
      </c>
      <c r="T39" s="653">
        <v>-0.88084663280702102</v>
      </c>
      <c r="U39" s="653">
        <v>0</v>
      </c>
      <c r="V39" s="653">
        <v>-6.8427672955974801</v>
      </c>
      <c r="W39" s="653">
        <v>-0.58178350023843595</v>
      </c>
      <c r="X39" s="653">
        <v>0.14106690406080899</v>
      </c>
      <c r="Y39" s="653">
        <v>20.081135902636898</v>
      </c>
      <c r="Z39" s="653">
        <v>-2.66602682022981E-3</v>
      </c>
      <c r="AA39" s="653">
        <v>2.7224411437809399</v>
      </c>
      <c r="AB39" s="653">
        <v>1.05336308108701</v>
      </c>
      <c r="AC39" s="653">
        <v>0.92476625242182398</v>
      </c>
      <c r="AD39" s="653">
        <v>-1.3902777777777799</v>
      </c>
      <c r="AE39" s="653">
        <v>1.21148825065274</v>
      </c>
      <c r="AF39" s="653">
        <v>3.9816842524387802E-2</v>
      </c>
      <c r="AG39" s="653">
        <v>0.59387231745174796</v>
      </c>
      <c r="AH39" s="653">
        <v>0.76056750036565701</v>
      </c>
      <c r="AI39" s="653">
        <v>0</v>
      </c>
      <c r="AJ39" s="653">
        <v>0.81274904509949197</v>
      </c>
    </row>
    <row r="40" spans="1:37" s="310" customFormat="1" ht="12.95" customHeight="1">
      <c r="A40" s="607" t="s">
        <v>604</v>
      </c>
      <c r="B40" s="401">
        <v>-4.3901030007351398</v>
      </c>
      <c r="C40" s="401">
        <v>-4.7619047619047601</v>
      </c>
      <c r="D40" s="401">
        <v>0</v>
      </c>
      <c r="E40" s="401">
        <v>-1.8420848522454001</v>
      </c>
      <c r="F40" s="401">
        <v>-0.75543105760348095</v>
      </c>
      <c r="G40" s="401">
        <v>-3.1365339545588502</v>
      </c>
      <c r="H40" s="401">
        <v>-3.13572709573763</v>
      </c>
      <c r="I40" s="401">
        <v>2.4851211337250101E-2</v>
      </c>
      <c r="J40" s="401">
        <v>-1.7623662043194599</v>
      </c>
      <c r="K40" s="401">
        <v>-1.9150008399126499</v>
      </c>
      <c r="L40" s="401">
        <v>0</v>
      </c>
      <c r="M40" s="401">
        <v>-6.6107837036494699</v>
      </c>
      <c r="N40" s="401">
        <v>-0.24445893089960899</v>
      </c>
      <c r="O40" s="401">
        <v>-0.69223785746708999</v>
      </c>
      <c r="P40" s="401">
        <v>0</v>
      </c>
      <c r="Q40" s="401">
        <v>-0.956121514843424</v>
      </c>
      <c r="R40" s="401">
        <v>-5.1632010613652</v>
      </c>
      <c r="S40" s="607" t="s">
        <v>604</v>
      </c>
      <c r="T40" s="654">
        <v>-5.09209537783559</v>
      </c>
      <c r="U40" s="654">
        <v>0</v>
      </c>
      <c r="V40" s="654">
        <v>-2.6927784577723402</v>
      </c>
      <c r="W40" s="654">
        <v>-4.4733965014577297</v>
      </c>
      <c r="X40" s="654">
        <v>-0.33442533442533401</v>
      </c>
      <c r="Y40" s="654">
        <v>16.658778987221901</v>
      </c>
      <c r="Z40" s="654">
        <v>-3.1982090029583403E-2</v>
      </c>
      <c r="AA40" s="654">
        <v>-4.77794027093596</v>
      </c>
      <c r="AB40" s="654">
        <v>-1.9156950672645701</v>
      </c>
      <c r="AC40" s="654">
        <v>-4.4115419384788304</v>
      </c>
      <c r="AD40" s="654">
        <v>-0.277008310249307</v>
      </c>
      <c r="AE40" s="654">
        <v>0.235540434441246</v>
      </c>
      <c r="AF40" s="654">
        <v>-3.98009950248756E-2</v>
      </c>
      <c r="AG40" s="654">
        <v>-1.6199707874120299</v>
      </c>
      <c r="AH40" s="654">
        <v>-3.1449213769655802</v>
      </c>
      <c r="AI40" s="654">
        <v>-1.3612479921592099E-3</v>
      </c>
      <c r="AJ40" s="654">
        <v>-4.1495417863259396</v>
      </c>
    </row>
    <row r="41" spans="1:37" s="310" customFormat="1" ht="12.95" customHeight="1">
      <c r="A41" s="670" t="s">
        <v>2481</v>
      </c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670" t="s">
        <v>2481</v>
      </c>
      <c r="T41" s="653"/>
      <c r="U41" s="653"/>
      <c r="V41" s="653"/>
      <c r="W41" s="653"/>
      <c r="X41" s="653"/>
      <c r="Y41" s="653"/>
      <c r="Z41" s="653"/>
      <c r="AA41" s="653"/>
      <c r="AB41" s="653"/>
      <c r="AC41" s="653"/>
      <c r="AD41" s="653"/>
      <c r="AE41" s="653"/>
      <c r="AF41" s="653"/>
      <c r="AG41" s="653"/>
      <c r="AH41" s="653"/>
      <c r="AI41" s="653"/>
      <c r="AJ41" s="653"/>
    </row>
    <row r="42" spans="1:37" s="310" customFormat="1" ht="12.95" customHeight="1">
      <c r="A42" s="607" t="s">
        <v>606</v>
      </c>
      <c r="B42" s="401">
        <v>1.5111886713022999</v>
      </c>
      <c r="C42" s="401">
        <v>-1.31995776135164</v>
      </c>
      <c r="D42" s="401">
        <v>0</v>
      </c>
      <c r="E42" s="401">
        <v>0.77380021885258699</v>
      </c>
      <c r="F42" s="401">
        <v>-0.47896555303468402</v>
      </c>
      <c r="G42" s="401">
        <v>-2.1114377558589998</v>
      </c>
      <c r="H42" s="401">
        <v>-2.1166556497785698</v>
      </c>
      <c r="I42" s="401">
        <v>-4.1401537589411397E-2</v>
      </c>
      <c r="J42" s="401">
        <v>-0.51165076684603805</v>
      </c>
      <c r="K42" s="401">
        <v>0.33709758975223297</v>
      </c>
      <c r="L42" s="401">
        <v>0</v>
      </c>
      <c r="M42" s="401">
        <v>2.5449495139071399</v>
      </c>
      <c r="N42" s="401">
        <v>-6.5146579804560303E-2</v>
      </c>
      <c r="O42" s="401">
        <v>-0.99988765307268801</v>
      </c>
      <c r="P42" s="401">
        <v>0</v>
      </c>
      <c r="Q42" s="401">
        <v>-0.95046039622991596</v>
      </c>
      <c r="R42" s="401">
        <v>1.1740900220258601</v>
      </c>
      <c r="S42" s="607" t="s">
        <v>606</v>
      </c>
      <c r="T42" s="654">
        <v>2.4723315869423699</v>
      </c>
      <c r="U42" s="654">
        <v>0.13003901170351101</v>
      </c>
      <c r="V42" s="654">
        <v>-14.9277354325461</v>
      </c>
      <c r="W42" s="654">
        <v>-0.86705202312138696</v>
      </c>
      <c r="X42" s="654">
        <v>-0.49305244285074001</v>
      </c>
      <c r="Y42" s="654">
        <v>-15.140562248996</v>
      </c>
      <c r="Z42" s="654">
        <v>-0.103833865814696</v>
      </c>
      <c r="AA42" s="654">
        <v>-0.31343873366147801</v>
      </c>
      <c r="AB42" s="654">
        <v>0.94882845036758001</v>
      </c>
      <c r="AC42" s="654">
        <v>0.77063226314752797</v>
      </c>
      <c r="AD42" s="654">
        <v>0.55710306406685195</v>
      </c>
      <c r="AE42" s="654">
        <v>0.38356452290878501</v>
      </c>
      <c r="AF42" s="654">
        <v>3.9816842524387802E-2</v>
      </c>
      <c r="AG42" s="654">
        <v>-0.31767041694242198</v>
      </c>
      <c r="AH42" s="654">
        <v>-2.7685950413223099</v>
      </c>
      <c r="AI42" s="654">
        <v>0</v>
      </c>
      <c r="AJ42" s="654">
        <v>0.33396673559184697</v>
      </c>
    </row>
    <row r="43" spans="1:37" s="310" customFormat="1" ht="12.95" customHeight="1">
      <c r="A43" s="610" t="s">
        <v>607</v>
      </c>
      <c r="B43" s="417">
        <v>-1.9181220375755299</v>
      </c>
      <c r="C43" s="417">
        <v>-0.31578947368421101</v>
      </c>
      <c r="D43" s="417">
        <v>0</v>
      </c>
      <c r="E43" s="417">
        <v>-2.2948566191912598</v>
      </c>
      <c r="F43" s="417">
        <v>-2.13188982091545</v>
      </c>
      <c r="G43" s="417">
        <v>-1.9906425662257199</v>
      </c>
      <c r="H43" s="417">
        <v>-2.0156557332721499</v>
      </c>
      <c r="I43" s="417">
        <v>1.65633580297249E-2</v>
      </c>
      <c r="J43" s="417">
        <v>-0.41602610359865699</v>
      </c>
      <c r="K43" s="417">
        <v>-0.17162471395880999</v>
      </c>
      <c r="L43" s="417">
        <v>0</v>
      </c>
      <c r="M43" s="417">
        <v>-4.0309798270893404</v>
      </c>
      <c r="N43" s="417">
        <v>-0.340853757506898</v>
      </c>
      <c r="O43" s="417">
        <v>-0.55859680482627605</v>
      </c>
      <c r="P43" s="417">
        <v>-11.8333333333333</v>
      </c>
      <c r="Q43" s="417">
        <v>-1.63942781141648</v>
      </c>
      <c r="R43" s="417">
        <v>-2.5673584704170498</v>
      </c>
      <c r="S43" s="610" t="s">
        <v>607</v>
      </c>
      <c r="T43" s="653">
        <v>-1.37987261146497</v>
      </c>
      <c r="U43" s="653">
        <v>-0.12987012987013</v>
      </c>
      <c r="V43" s="653">
        <v>9.0574608221666999</v>
      </c>
      <c r="W43" s="653">
        <v>-1.41572433443148</v>
      </c>
      <c r="X43" s="653">
        <v>0.208248264597795</v>
      </c>
      <c r="Y43" s="653">
        <v>3.75</v>
      </c>
      <c r="Z43" s="653">
        <v>-1.3310262212165601E-2</v>
      </c>
      <c r="AA43" s="653">
        <v>-2.9969111681738698</v>
      </c>
      <c r="AB43" s="653">
        <v>-1.24105865522175</v>
      </c>
      <c r="AC43" s="653">
        <v>-4.8342049522952601</v>
      </c>
      <c r="AD43" s="653">
        <v>-1.37091678342812</v>
      </c>
      <c r="AE43" s="653">
        <v>-2.30982445334155</v>
      </c>
      <c r="AF43" s="653">
        <v>-3.98009950248756E-2</v>
      </c>
      <c r="AG43" s="653">
        <v>-1.4608060519107899</v>
      </c>
      <c r="AH43" s="653">
        <v>-0.58879912364781595</v>
      </c>
      <c r="AI43" s="653">
        <v>0</v>
      </c>
      <c r="AJ43" s="653">
        <v>-4.2038209052602502</v>
      </c>
    </row>
    <row r="44" spans="1:37" s="310" customFormat="1" ht="12.95" customHeight="1">
      <c r="A44" s="607" t="s">
        <v>601</v>
      </c>
      <c r="B44" s="401">
        <v>-4.80151801471649</v>
      </c>
      <c r="C44" s="401">
        <v>-1.0416666666666701</v>
      </c>
      <c r="D44" s="401">
        <v>0</v>
      </c>
      <c r="E44" s="401">
        <v>-3.76644374219152</v>
      </c>
      <c r="F44" s="401">
        <v>-3.0885207167168298</v>
      </c>
      <c r="G44" s="401">
        <v>-2.7655953393991002</v>
      </c>
      <c r="H44" s="401">
        <v>-2.7811048809768502</v>
      </c>
      <c r="I44" s="401">
        <v>-5.7331413792664097E-3</v>
      </c>
      <c r="J44" s="401">
        <v>-2.1472166619592001</v>
      </c>
      <c r="K44" s="401">
        <v>-2.4969649243692</v>
      </c>
      <c r="L44" s="401">
        <v>0</v>
      </c>
      <c r="M44" s="401">
        <v>-3.7214303055526701</v>
      </c>
      <c r="N44" s="401">
        <v>-0.77307134804316302</v>
      </c>
      <c r="O44" s="401">
        <v>-3.6698235040895399</v>
      </c>
      <c r="P44" s="401">
        <v>0</v>
      </c>
      <c r="Q44" s="401">
        <v>-2.3043391668594002</v>
      </c>
      <c r="R44" s="401">
        <v>-6.5100356980263898</v>
      </c>
      <c r="S44" s="607" t="s">
        <v>601</v>
      </c>
      <c r="T44" s="654">
        <v>-7.9951618347522801</v>
      </c>
      <c r="U44" s="654">
        <v>0</v>
      </c>
      <c r="V44" s="654">
        <v>-5.0873032981246</v>
      </c>
      <c r="W44" s="654">
        <v>-4.7170611690845803</v>
      </c>
      <c r="X44" s="654">
        <v>0.28938818968576802</v>
      </c>
      <c r="Y44" s="654">
        <v>3.6269430051813498</v>
      </c>
      <c r="Z44" s="654">
        <v>-0.26549847338377802</v>
      </c>
      <c r="AA44" s="654">
        <v>-6.33365867261573</v>
      </c>
      <c r="AB44" s="654">
        <v>-2.54783730089575</v>
      </c>
      <c r="AC44" s="654">
        <v>-5.2457706140935096</v>
      </c>
      <c r="AD44" s="654">
        <v>1.37385283288454E-2</v>
      </c>
      <c r="AE44" s="654">
        <v>-0.225340571545631</v>
      </c>
      <c r="AF44" s="654">
        <v>0</v>
      </c>
      <c r="AG44" s="654">
        <v>-2.1816789997448298</v>
      </c>
      <c r="AH44" s="654">
        <v>-4.17268075055767</v>
      </c>
      <c r="AI44" s="654">
        <v>0</v>
      </c>
      <c r="AJ44" s="654">
        <v>-6.5717251814927602</v>
      </c>
    </row>
    <row r="45" spans="1:37" s="310" customFormat="1" ht="12.95" customHeight="1">
      <c r="A45" s="610" t="s">
        <v>608</v>
      </c>
      <c r="B45" s="417">
        <v>-1.7016710909491</v>
      </c>
      <c r="C45" s="417">
        <v>-1.0309278350515501</v>
      </c>
      <c r="D45" s="417">
        <v>-1.3260840737302699E-2</v>
      </c>
      <c r="E45" s="417">
        <v>3.6759300102926003E-2</v>
      </c>
      <c r="F45" s="417">
        <v>-0.92799019061420096</v>
      </c>
      <c r="G45" s="417">
        <v>2.27074937407115</v>
      </c>
      <c r="H45" s="417">
        <v>2.3573502660999601</v>
      </c>
      <c r="I45" s="417">
        <v>-1.91101060610886E-3</v>
      </c>
      <c r="J45" s="417">
        <v>-1.0180081075989</v>
      </c>
      <c r="K45" s="417">
        <v>-2.2515154430866899</v>
      </c>
      <c r="L45" s="417">
        <v>0</v>
      </c>
      <c r="M45" s="417">
        <v>-2.2378191435255799</v>
      </c>
      <c r="N45" s="417">
        <v>0.27454780361757097</v>
      </c>
      <c r="O45" s="417">
        <v>-1.71875826326088</v>
      </c>
      <c r="P45" s="417">
        <v>0</v>
      </c>
      <c r="Q45" s="417">
        <v>1.06140708264821</v>
      </c>
      <c r="R45" s="417">
        <v>1.4834209521739301</v>
      </c>
      <c r="S45" s="610" t="s">
        <v>608</v>
      </c>
      <c r="T45" s="653">
        <v>3.1979641402266199</v>
      </c>
      <c r="U45" s="653">
        <v>-1.29853265809635E-2</v>
      </c>
      <c r="V45" s="653">
        <v>4.77696216826652</v>
      </c>
      <c r="W45" s="653">
        <v>1.55953816991211</v>
      </c>
      <c r="X45" s="653">
        <v>-0.34823298963462701</v>
      </c>
      <c r="Y45" s="653">
        <v>-5.8919138561560302</v>
      </c>
      <c r="Z45" s="653">
        <v>0.21018464321822</v>
      </c>
      <c r="AA45" s="653">
        <v>1.0233331220463799</v>
      </c>
      <c r="AB45" s="653">
        <v>1.67983839529362</v>
      </c>
      <c r="AC45" s="653">
        <v>2.8276343845454899</v>
      </c>
      <c r="AD45" s="653">
        <v>-0.83378746594005404</v>
      </c>
      <c r="AE45" s="653">
        <v>-2.0074274816822202</v>
      </c>
      <c r="AF45" s="653">
        <v>0</v>
      </c>
      <c r="AG45" s="653">
        <v>0.74550128534704396</v>
      </c>
      <c r="AH45" s="653">
        <v>0.36876070064533101</v>
      </c>
      <c r="AI45" s="653">
        <v>0</v>
      </c>
      <c r="AJ45" s="653">
        <v>6.6391149375758802</v>
      </c>
    </row>
    <row r="46" spans="1:37" s="310" customFormat="1" ht="12.95" customHeight="1" thickBot="1">
      <c r="A46" s="1594" t="s">
        <v>609</v>
      </c>
      <c r="B46" s="1652">
        <v>4.3044224046245798</v>
      </c>
      <c r="C46" s="1652">
        <v>-1.0204081632653099</v>
      </c>
      <c r="D46" s="1652">
        <v>0</v>
      </c>
      <c r="E46" s="1652">
        <v>0.16200294550809999</v>
      </c>
      <c r="F46" s="1652">
        <v>-1.39335924981538E-3</v>
      </c>
      <c r="G46" s="1652">
        <v>3.7332814822016398</v>
      </c>
      <c r="H46" s="1652">
        <v>3.6527850357070002</v>
      </c>
      <c r="I46" s="1652">
        <v>0.496770352540507</v>
      </c>
      <c r="J46" s="1652">
        <v>0.78712665082204203</v>
      </c>
      <c r="K46" s="1652">
        <v>-0.94986975030179799</v>
      </c>
      <c r="L46" s="1652">
        <v>0</v>
      </c>
      <c r="M46" s="1652">
        <v>6.3155618038282704</v>
      </c>
      <c r="N46" s="1652">
        <v>0.61748456288592801</v>
      </c>
      <c r="O46" s="1652">
        <v>5.6250698246006001</v>
      </c>
      <c r="P46" s="1652">
        <v>0</v>
      </c>
      <c r="Q46" s="1652">
        <v>2.4661471305623399</v>
      </c>
      <c r="R46" s="1652">
        <v>6.6208097722762798</v>
      </c>
      <c r="S46" s="1594" t="s">
        <v>609</v>
      </c>
      <c r="T46" s="1654">
        <v>3.2845128697138199</v>
      </c>
      <c r="U46" s="1654">
        <v>1.2987012987013E-2</v>
      </c>
      <c r="V46" s="1654">
        <v>-1.44685587089594</v>
      </c>
      <c r="W46" s="1654">
        <v>2.5808732543751098</v>
      </c>
      <c r="X46" s="1654">
        <v>0.34671034671034701</v>
      </c>
      <c r="Y46" s="1654">
        <v>1.0013953870146901</v>
      </c>
      <c r="Z46" s="1654">
        <v>9.3128450741701597E-3</v>
      </c>
      <c r="AA46" s="1654">
        <v>7.7307698144129704</v>
      </c>
      <c r="AB46" s="1654">
        <v>2.6782140387904398</v>
      </c>
      <c r="AC46" s="1654">
        <v>3.7523212187819799</v>
      </c>
      <c r="AD46" s="1654">
        <v>0.96286107290233802</v>
      </c>
      <c r="AE46" s="1654">
        <v>4.4449103679631001</v>
      </c>
      <c r="AF46" s="1654">
        <v>3.9816842524387802E-2</v>
      </c>
      <c r="AG46" s="1654">
        <v>2.2473386778814599</v>
      </c>
      <c r="AH46" s="1654">
        <v>7.5495750708215299</v>
      </c>
      <c r="AI46" s="1654">
        <v>0</v>
      </c>
      <c r="AJ46" s="1654">
        <v>2.9449794474201698</v>
      </c>
    </row>
    <row r="47" spans="1:37" s="13" customFormat="1" ht="12" customHeight="1">
      <c r="A47" s="655" t="s">
        <v>640</v>
      </c>
      <c r="B47" s="2278" t="s">
        <v>1466</v>
      </c>
      <c r="C47" s="2278"/>
      <c r="D47" s="2278"/>
      <c r="E47" s="2278"/>
      <c r="F47" s="2278"/>
      <c r="G47" s="2278"/>
      <c r="H47" s="226"/>
      <c r="I47" s="1221" t="s">
        <v>274</v>
      </c>
      <c r="J47" s="1219" t="s">
        <v>1378</v>
      </c>
      <c r="K47" s="33"/>
      <c r="L47" s="33"/>
      <c r="S47" s="1221" t="s">
        <v>274</v>
      </c>
      <c r="T47" s="1219" t="s">
        <v>1378</v>
      </c>
      <c r="U47" s="33"/>
      <c r="V47" s="33"/>
    </row>
    <row r="48" spans="1:37">
      <c r="A48" s="13"/>
      <c r="B48" s="1388"/>
      <c r="C48" s="1388"/>
      <c r="D48" s="694"/>
      <c r="E48" s="694"/>
      <c r="F48" s="694"/>
      <c r="G48" s="694"/>
      <c r="H48" s="694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</row>
    <row r="49" spans="2:37" ht="13.5" customHeight="1">
      <c r="B49" s="1064"/>
      <c r="C49" s="1388"/>
      <c r="D49" s="1064"/>
      <c r="E49" s="1064"/>
      <c r="F49" s="1064"/>
      <c r="G49" s="1064"/>
      <c r="H49" s="1064"/>
      <c r="I49" s="1064"/>
      <c r="J49" s="1064"/>
      <c r="K49" s="1064"/>
      <c r="L49" s="1064"/>
      <c r="M49" s="1064"/>
      <c r="N49" s="1064"/>
      <c r="O49" s="1064"/>
      <c r="P49" s="1064"/>
      <c r="Q49" s="1064"/>
      <c r="R49" s="1064"/>
      <c r="S49" s="1064"/>
      <c r="T49" s="1064"/>
      <c r="U49" s="1064"/>
      <c r="V49" s="1064"/>
      <c r="W49" s="1631"/>
      <c r="X49" s="1064"/>
      <c r="Y49" s="1064"/>
      <c r="Z49" s="1064"/>
      <c r="AA49" s="1064"/>
      <c r="AB49" s="1064"/>
      <c r="AC49" s="1064"/>
      <c r="AD49" s="1064"/>
      <c r="AE49" s="1064"/>
      <c r="AF49" s="1064"/>
      <c r="AG49" s="1064"/>
      <c r="AH49" s="1064"/>
      <c r="AI49" s="1064"/>
      <c r="AJ49" s="40"/>
      <c r="AK49" s="40"/>
    </row>
    <row r="50" spans="2:37" ht="11.25" customHeight="1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2:37" ht="13.5" customHeight="1"/>
    <row r="52" spans="2:37" ht="11.25" customHeight="1"/>
    <row r="53" spans="2:37" ht="11.25" customHeight="1"/>
    <row r="54" spans="2:37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2:37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7:G47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45" firstPageNumber="9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3" sqref="H53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24" t="s">
        <v>641</v>
      </c>
      <c r="B1" s="2324"/>
      <c r="C1" s="2324"/>
      <c r="D1" s="2324"/>
      <c r="E1" s="2324"/>
      <c r="F1" s="2324"/>
      <c r="G1" s="2324"/>
      <c r="H1" s="2324"/>
      <c r="I1" s="2324"/>
      <c r="J1" s="2324"/>
      <c r="K1" s="2111" t="s">
        <v>344</v>
      </c>
      <c r="L1" s="2325"/>
      <c r="M1" s="2325"/>
      <c r="N1" s="2325"/>
      <c r="O1" s="2325"/>
      <c r="P1" s="2325"/>
      <c r="Q1" s="2325"/>
      <c r="R1" s="2325"/>
      <c r="S1" s="2109" t="s">
        <v>1218</v>
      </c>
      <c r="T1" s="2109"/>
      <c r="U1" s="2109"/>
    </row>
    <row r="2" spans="1:22" s="116" customFormat="1" ht="30" customHeight="1">
      <c r="A2" s="1128" t="s">
        <v>630</v>
      </c>
      <c r="B2" s="1128" t="s">
        <v>347</v>
      </c>
      <c r="C2" s="211" t="s">
        <v>869</v>
      </c>
      <c r="D2" s="1128" t="s">
        <v>1191</v>
      </c>
      <c r="E2" s="2327" t="s">
        <v>1112</v>
      </c>
      <c r="F2" s="2328"/>
      <c r="G2" s="1128" t="s">
        <v>346</v>
      </c>
      <c r="H2" s="1128" t="s">
        <v>1118</v>
      </c>
      <c r="I2" s="1140" t="s">
        <v>1109</v>
      </c>
      <c r="J2" s="1128" t="s">
        <v>1117</v>
      </c>
      <c r="K2" s="1128" t="s">
        <v>1111</v>
      </c>
      <c r="L2" s="2330" t="s">
        <v>1356</v>
      </c>
      <c r="M2" s="2331"/>
      <c r="N2" s="2332"/>
      <c r="O2" s="2327" t="s">
        <v>1355</v>
      </c>
      <c r="P2" s="2328"/>
      <c r="Q2" s="1128" t="s">
        <v>843</v>
      </c>
      <c r="R2" s="1128" t="s">
        <v>255</v>
      </c>
      <c r="S2" s="2326" t="s">
        <v>1110</v>
      </c>
      <c r="T2" s="2326"/>
      <c r="U2" s="2326"/>
      <c r="V2" s="134"/>
    </row>
    <row r="3" spans="1:22" s="684" customFormat="1" ht="35.1" customHeight="1">
      <c r="A3" s="681" t="s">
        <v>631</v>
      </c>
      <c r="B3" s="681" t="s">
        <v>632</v>
      </c>
      <c r="C3" s="681" t="s">
        <v>582</v>
      </c>
      <c r="D3" s="688" t="s">
        <v>1192</v>
      </c>
      <c r="E3" s="681" t="s">
        <v>642</v>
      </c>
      <c r="F3" s="681" t="s">
        <v>643</v>
      </c>
      <c r="G3" s="681" t="s">
        <v>363</v>
      </c>
      <c r="H3" s="681" t="s">
        <v>644</v>
      </c>
      <c r="I3" s="689" t="s">
        <v>583</v>
      </c>
      <c r="J3" s="682" t="s">
        <v>654</v>
      </c>
      <c r="K3" s="682" t="s">
        <v>655</v>
      </c>
      <c r="L3" s="682" t="s">
        <v>656</v>
      </c>
      <c r="M3" s="682" t="s">
        <v>1354</v>
      </c>
      <c r="N3" s="682" t="s">
        <v>584</v>
      </c>
      <c r="O3" s="682" t="s">
        <v>645</v>
      </c>
      <c r="P3" s="682" t="s">
        <v>560</v>
      </c>
      <c r="Q3" s="682" t="s">
        <v>41</v>
      </c>
      <c r="R3" s="682" t="s">
        <v>646</v>
      </c>
      <c r="S3" s="682" t="s">
        <v>657</v>
      </c>
      <c r="T3" s="682" t="s">
        <v>658</v>
      </c>
      <c r="U3" s="682" t="s">
        <v>659</v>
      </c>
      <c r="V3" s="683"/>
    </row>
    <row r="4" spans="1:22" s="116" customFormat="1" ht="11.1" customHeight="1">
      <c r="A4" s="135" t="s">
        <v>527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12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2"/>
    </row>
    <row r="6" spans="1:22" ht="11.45" customHeight="1">
      <c r="A6" s="338">
        <v>2003</v>
      </c>
      <c r="B6" s="350">
        <v>363.50900000000001</v>
      </c>
      <c r="C6" s="350">
        <v>27.9542</v>
      </c>
      <c r="D6" s="350">
        <v>13.82</v>
      </c>
      <c r="E6" s="350">
        <v>26.7333</v>
      </c>
      <c r="F6" s="350">
        <v>28.852499999999999</v>
      </c>
      <c r="G6" s="350">
        <v>63.4437</v>
      </c>
      <c r="H6" s="350">
        <v>149.333</v>
      </c>
      <c r="I6" s="350">
        <v>138.89599999999999</v>
      </c>
      <c r="J6" s="350">
        <v>199.46100000000001</v>
      </c>
      <c r="K6" s="350">
        <v>248.75399999999999</v>
      </c>
      <c r="L6" s="350">
        <v>165.548</v>
      </c>
      <c r="M6" s="350">
        <v>131.571</v>
      </c>
      <c r="N6" s="350">
        <v>152.44999999999999</v>
      </c>
      <c r="O6" s="350">
        <v>410.37299999999999</v>
      </c>
      <c r="P6" s="350">
        <v>425.53800000000001</v>
      </c>
      <c r="Q6" s="350">
        <v>214.65600000000001</v>
      </c>
      <c r="R6" s="350">
        <v>500.28300000000002</v>
      </c>
      <c r="S6" s="350">
        <v>27.1768</v>
      </c>
      <c r="T6" s="350">
        <v>6.9257099999999996</v>
      </c>
      <c r="U6" s="350">
        <v>21.4998</v>
      </c>
      <c r="V6" s="90"/>
    </row>
    <row r="7" spans="1:22" s="177" customFormat="1" ht="11.45" customHeight="1">
      <c r="A7" s="112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2"/>
    </row>
    <row r="8" spans="1:22" ht="11.45" customHeight="1">
      <c r="A8" s="338">
        <v>2005</v>
      </c>
      <c r="B8" s="350">
        <v>444.84300000000002</v>
      </c>
      <c r="C8" s="350">
        <v>51.022399999999998</v>
      </c>
      <c r="D8" s="350">
        <v>28.11</v>
      </c>
      <c r="E8" s="350">
        <v>49.201700000000002</v>
      </c>
      <c r="F8" s="350">
        <v>54.434199999999997</v>
      </c>
      <c r="G8" s="350">
        <v>55.168300000000002</v>
      </c>
      <c r="H8" s="350">
        <v>201.47900000000001</v>
      </c>
      <c r="I8" s="350">
        <v>219.01900000000001</v>
      </c>
      <c r="J8" s="350">
        <v>287.81099999999998</v>
      </c>
      <c r="K8" s="350">
        <v>308.45100000000002</v>
      </c>
      <c r="L8" s="350">
        <v>163.43100000000001</v>
      </c>
      <c r="M8" s="350">
        <v>129.886</v>
      </c>
      <c r="N8" s="350">
        <v>121.4</v>
      </c>
      <c r="O8" s="350">
        <v>367.68700000000001</v>
      </c>
      <c r="P8" s="350">
        <v>390.75200000000001</v>
      </c>
      <c r="Q8" s="350">
        <v>205.762</v>
      </c>
      <c r="R8" s="350">
        <v>495.74700000000001</v>
      </c>
      <c r="S8" s="350">
        <v>30.2624</v>
      </c>
      <c r="T8" s="350">
        <v>10.0702</v>
      </c>
      <c r="U8" s="350">
        <v>21.0684</v>
      </c>
      <c r="V8" s="90"/>
    </row>
    <row r="9" spans="1:22" s="177" customFormat="1" ht="11.45" customHeight="1">
      <c r="A9" s="112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2"/>
    </row>
    <row r="10" spans="1:22" ht="11.45" customHeight="1">
      <c r="A10" s="338">
        <v>2007</v>
      </c>
      <c r="B10" s="350">
        <v>696.72</v>
      </c>
      <c r="C10" s="350">
        <v>70.428299999999993</v>
      </c>
      <c r="D10" s="350">
        <v>36.630000000000003</v>
      </c>
      <c r="E10" s="350">
        <v>68.368300000000005</v>
      </c>
      <c r="F10" s="350">
        <v>72.712500000000006</v>
      </c>
      <c r="G10" s="350">
        <v>63.283700000000003</v>
      </c>
      <c r="H10" s="350">
        <v>339.05399999999997</v>
      </c>
      <c r="I10" s="350">
        <v>309.39999999999998</v>
      </c>
      <c r="J10" s="350">
        <v>332.39299999999997</v>
      </c>
      <c r="K10" s="350">
        <v>375.70800000000003</v>
      </c>
      <c r="L10" s="350">
        <v>243.411</v>
      </c>
      <c r="M10" s="350">
        <v>226.88499999999999</v>
      </c>
      <c r="N10" s="350">
        <v>209.6</v>
      </c>
      <c r="O10" s="350">
        <v>719.12199999999996</v>
      </c>
      <c r="P10" s="350">
        <v>694.65099999999995</v>
      </c>
      <c r="Q10" s="350">
        <v>263.673</v>
      </c>
      <c r="R10" s="350">
        <v>799.74199999999996</v>
      </c>
      <c r="S10" s="350">
        <v>33.284399999999998</v>
      </c>
      <c r="T10" s="350">
        <v>9.9566400000000002</v>
      </c>
      <c r="U10" s="350">
        <v>20.763200000000001</v>
      </c>
      <c r="V10" s="90"/>
    </row>
    <row r="11" spans="1:22" s="177" customFormat="1" ht="11.45" customHeight="1">
      <c r="A11" s="112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2"/>
    </row>
    <row r="12" spans="1:22" s="18" customFormat="1" ht="11.45" customHeight="1">
      <c r="A12" s="1115">
        <v>2009</v>
      </c>
      <c r="B12" s="349">
        <v>972.96600000000001</v>
      </c>
      <c r="C12" s="349">
        <v>76.975899999999996</v>
      </c>
      <c r="D12" s="349">
        <v>79.993899999999996</v>
      </c>
      <c r="E12" s="349">
        <v>61.754899999999999</v>
      </c>
      <c r="F12" s="349">
        <v>61.860599999999998</v>
      </c>
      <c r="G12" s="349">
        <v>62.752000000000002</v>
      </c>
      <c r="H12" s="349">
        <v>257.41699999999997</v>
      </c>
      <c r="I12" s="349">
        <v>249.57400000000001</v>
      </c>
      <c r="J12" s="349">
        <v>589.37599999999998</v>
      </c>
      <c r="K12" s="349">
        <v>582.69000000000005</v>
      </c>
      <c r="L12" s="349">
        <v>246.96899999999999</v>
      </c>
      <c r="M12" s="349">
        <v>190.11199999999999</v>
      </c>
      <c r="N12" s="349">
        <v>200.2</v>
      </c>
      <c r="O12" s="349">
        <v>644.06799999999998</v>
      </c>
      <c r="P12" s="349">
        <v>634.09199999999998</v>
      </c>
      <c r="Q12" s="349">
        <v>359.27</v>
      </c>
      <c r="R12" s="349">
        <v>787.02</v>
      </c>
      <c r="S12" s="349">
        <v>26.014600000000002</v>
      </c>
      <c r="T12" s="349">
        <v>18.150400000000001</v>
      </c>
      <c r="U12" s="349">
        <v>24.335699999999999</v>
      </c>
      <c r="V12" s="240"/>
    </row>
    <row r="13" spans="1:22" s="177" customFormat="1" ht="11.45" customHeight="1">
      <c r="A13" s="112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9"/>
    </row>
    <row r="14" spans="1:22" s="177" customFormat="1" ht="11.45" customHeight="1">
      <c r="A14" s="338">
        <v>2011</v>
      </c>
      <c r="B14" s="328">
        <v>1569.21</v>
      </c>
      <c r="C14" s="328">
        <v>130.12299999999999</v>
      </c>
      <c r="D14" s="328">
        <v>167.79</v>
      </c>
      <c r="E14" s="328">
        <v>106.027</v>
      </c>
      <c r="F14" s="328">
        <v>110.952</v>
      </c>
      <c r="G14" s="328">
        <v>154.608</v>
      </c>
      <c r="H14" s="328">
        <v>538.26</v>
      </c>
      <c r="I14" s="328">
        <v>420.96</v>
      </c>
      <c r="J14" s="328">
        <v>551.71100000000001</v>
      </c>
      <c r="K14" s="328">
        <v>593.49199999999996</v>
      </c>
      <c r="L14" s="328">
        <v>317.43599999999998</v>
      </c>
      <c r="M14" s="328">
        <v>279.98899999999998</v>
      </c>
      <c r="N14" s="328">
        <v>304.8</v>
      </c>
      <c r="O14" s="328">
        <v>1076.5</v>
      </c>
      <c r="P14" s="328">
        <v>1068.3699999999999</v>
      </c>
      <c r="Q14" s="328">
        <v>378.86099999999999</v>
      </c>
      <c r="R14" s="328">
        <v>1215.82</v>
      </c>
      <c r="S14" s="328">
        <v>26.665199999999999</v>
      </c>
      <c r="T14" s="328">
        <v>26.235600000000002</v>
      </c>
      <c r="U14" s="328">
        <v>37.572499999999998</v>
      </c>
      <c r="V14" s="269"/>
    </row>
    <row r="15" spans="1:22" s="177" customFormat="1" ht="11.45" customHeight="1">
      <c r="A15" s="112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9"/>
    </row>
    <row r="16" spans="1:22" s="175" customFormat="1" ht="11.45" customHeight="1">
      <c r="A16" s="338">
        <v>2013</v>
      </c>
      <c r="B16" s="328">
        <v>1411.46</v>
      </c>
      <c r="C16" s="328">
        <v>90.6023</v>
      </c>
      <c r="D16" s="328">
        <v>135.36099999999999</v>
      </c>
      <c r="E16" s="328">
        <v>105.43</v>
      </c>
      <c r="F16" s="328">
        <v>108.84399999999999</v>
      </c>
      <c r="G16" s="328">
        <v>90.400599999999997</v>
      </c>
      <c r="H16" s="328">
        <v>382.06299999999999</v>
      </c>
      <c r="I16" s="328">
        <v>340.12299999999999</v>
      </c>
      <c r="J16" s="328">
        <v>518.81200000000001</v>
      </c>
      <c r="K16" s="328">
        <v>658.726</v>
      </c>
      <c r="L16" s="328">
        <v>326.16699999999997</v>
      </c>
      <c r="M16" s="328">
        <v>265.75099999999998</v>
      </c>
      <c r="N16" s="328">
        <v>314</v>
      </c>
      <c r="O16" s="328">
        <v>764.197</v>
      </c>
      <c r="P16" s="328">
        <v>743.37900000000002</v>
      </c>
      <c r="Q16" s="328">
        <v>477.29899999999998</v>
      </c>
      <c r="R16" s="328">
        <v>1011.11</v>
      </c>
      <c r="S16" s="328">
        <v>26.011800000000001</v>
      </c>
      <c r="T16" s="328">
        <v>17.708500000000001</v>
      </c>
      <c r="U16" s="328">
        <v>21.214500000000001</v>
      </c>
      <c r="V16" s="269"/>
    </row>
    <row r="17" spans="1:24" s="204" customFormat="1" ht="11.45" customHeight="1">
      <c r="A17" s="1121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306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6"/>
    </row>
    <row r="18" spans="1:24" s="175" customFormat="1" ht="11.45" customHeight="1">
      <c r="A18" s="917">
        <v>2015</v>
      </c>
      <c r="B18" s="331">
        <f>AVERAGE(B19:B30)</f>
        <v>1160.6633333333334</v>
      </c>
      <c r="C18" s="331">
        <f t="shared" ref="C18:U18" si="0">AVERAGE(C19:C30)</f>
        <v>61.618599999999994</v>
      </c>
      <c r="D18" s="331">
        <f t="shared" si="0"/>
        <v>55.209266666666657</v>
      </c>
      <c r="E18" s="331">
        <f t="shared" si="0"/>
        <v>51.232049999999994</v>
      </c>
      <c r="F18" s="331">
        <f t="shared" si="0"/>
        <v>52.399408333333348</v>
      </c>
      <c r="G18" s="331">
        <f t="shared" si="0"/>
        <v>70.417191666666668</v>
      </c>
      <c r="H18" s="331">
        <f t="shared" si="0"/>
        <v>385</v>
      </c>
      <c r="I18" s="331">
        <f t="shared" si="0"/>
        <v>272.91941666666668</v>
      </c>
      <c r="J18" s="331" t="s">
        <v>306</v>
      </c>
      <c r="K18" s="331">
        <f t="shared" si="0"/>
        <v>469.92883333333333</v>
      </c>
      <c r="L18" s="331" t="s">
        <v>306</v>
      </c>
      <c r="M18" s="331">
        <f t="shared" si="0"/>
        <v>185.60733333333334</v>
      </c>
      <c r="N18" s="331">
        <f t="shared" si="0"/>
        <v>236.21666666666667</v>
      </c>
      <c r="O18" s="331">
        <f t="shared" si="0"/>
        <v>565.09</v>
      </c>
      <c r="P18" s="331">
        <f>AVERAGE(P19:P27)</f>
        <v>593.50144444444459</v>
      </c>
      <c r="Q18" s="331">
        <f t="shared" si="0"/>
        <v>352.72174999999993</v>
      </c>
      <c r="R18" s="331">
        <f t="shared" si="0"/>
        <v>672.16466666666656</v>
      </c>
      <c r="S18" s="331">
        <f t="shared" si="0"/>
        <v>25.423941666666668</v>
      </c>
      <c r="T18" s="331">
        <f t="shared" si="0"/>
        <v>13.238658333333335</v>
      </c>
      <c r="U18" s="331">
        <f t="shared" si="0"/>
        <v>24.850825</v>
      </c>
      <c r="V18" s="269"/>
    </row>
    <row r="19" spans="1:24" s="175" customFormat="1" ht="11.45" customHeight="1">
      <c r="A19" s="1114" t="s">
        <v>610</v>
      </c>
      <c r="B19" s="281">
        <v>1250.75</v>
      </c>
      <c r="C19" s="281">
        <v>66.535700000000006</v>
      </c>
      <c r="D19" s="281">
        <v>67.386399999999995</v>
      </c>
      <c r="E19" s="281">
        <v>46.335000000000001</v>
      </c>
      <c r="F19" s="281">
        <v>48.416800000000002</v>
      </c>
      <c r="G19" s="281">
        <v>67.349999999999994</v>
      </c>
      <c r="H19" s="281">
        <v>400</v>
      </c>
      <c r="I19" s="281">
        <v>319.2</v>
      </c>
      <c r="J19" s="281" t="s">
        <v>306</v>
      </c>
      <c r="K19" s="281">
        <v>546.59199999999998</v>
      </c>
      <c r="L19" s="281" t="s">
        <v>306</v>
      </c>
      <c r="M19" s="281">
        <v>210.608</v>
      </c>
      <c r="N19" s="281">
        <v>261.8</v>
      </c>
      <c r="O19" s="281">
        <v>641.59699999999998</v>
      </c>
      <c r="P19" s="281">
        <v>617.11199999999997</v>
      </c>
      <c r="Q19" s="281">
        <v>379.041</v>
      </c>
      <c r="R19" s="281">
        <v>707.88099999999997</v>
      </c>
      <c r="S19" s="281">
        <v>25.170200000000001</v>
      </c>
      <c r="T19" s="281">
        <v>15.0625</v>
      </c>
      <c r="U19" s="281">
        <v>25.24</v>
      </c>
      <c r="V19" s="269"/>
      <c r="X19" s="269"/>
    </row>
    <row r="20" spans="1:24" s="175" customFormat="1" ht="11.45" customHeight="1">
      <c r="A20" s="1115" t="s">
        <v>611</v>
      </c>
      <c r="B20" s="323">
        <v>1227.08</v>
      </c>
      <c r="C20" s="323">
        <v>65.785700000000006</v>
      </c>
      <c r="D20" s="323">
        <v>62.69</v>
      </c>
      <c r="E20" s="323">
        <v>56.15</v>
      </c>
      <c r="F20" s="323">
        <v>57.930500000000002</v>
      </c>
      <c r="G20" s="323">
        <v>69.842500000000001</v>
      </c>
      <c r="H20" s="323">
        <v>400</v>
      </c>
      <c r="I20" s="323">
        <v>297</v>
      </c>
      <c r="J20" s="323" t="s">
        <v>306</v>
      </c>
      <c r="K20" s="323">
        <v>501.76499999999999</v>
      </c>
      <c r="L20" s="323" t="s">
        <v>306</v>
      </c>
      <c r="M20" s="323">
        <v>201.714</v>
      </c>
      <c r="N20" s="323">
        <v>253</v>
      </c>
      <c r="O20" s="323">
        <v>634.37800000000004</v>
      </c>
      <c r="P20" s="323">
        <v>628.54300000000001</v>
      </c>
      <c r="Q20" s="323">
        <v>374.25200000000001</v>
      </c>
      <c r="R20" s="323">
        <v>697.93600000000004</v>
      </c>
      <c r="S20" s="323">
        <v>25.485399999999998</v>
      </c>
      <c r="T20" s="323">
        <v>14.5121</v>
      </c>
      <c r="U20" s="323">
        <v>24.62</v>
      </c>
      <c r="V20" s="269"/>
      <c r="X20" s="269"/>
    </row>
    <row r="21" spans="1:24" s="175" customFormat="1" ht="11.45" customHeight="1">
      <c r="A21" s="1114" t="s">
        <v>603</v>
      </c>
      <c r="B21" s="281">
        <v>1178.6300000000001</v>
      </c>
      <c r="C21" s="281">
        <v>64.408900000000003</v>
      </c>
      <c r="D21" s="281">
        <v>56.940899999999999</v>
      </c>
      <c r="E21" s="281">
        <v>54.909100000000002</v>
      </c>
      <c r="F21" s="281">
        <v>55.791400000000003</v>
      </c>
      <c r="G21" s="281">
        <v>69.3523</v>
      </c>
      <c r="H21" s="281">
        <v>400</v>
      </c>
      <c r="I21" s="281">
        <v>271</v>
      </c>
      <c r="J21" s="281" t="s">
        <v>306</v>
      </c>
      <c r="K21" s="281">
        <v>503.84899999999999</v>
      </c>
      <c r="L21" s="281" t="s">
        <v>306</v>
      </c>
      <c r="M21" s="281">
        <v>202.679</v>
      </c>
      <c r="N21" s="281">
        <v>250.4</v>
      </c>
      <c r="O21" s="281">
        <v>607.65499999999997</v>
      </c>
      <c r="P21" s="281">
        <v>615.98599999999999</v>
      </c>
      <c r="Q21" s="281">
        <v>364.86</v>
      </c>
      <c r="R21" s="281">
        <v>683.43200000000002</v>
      </c>
      <c r="S21" s="281">
        <v>24.9069</v>
      </c>
      <c r="T21" s="281">
        <v>12.8409</v>
      </c>
      <c r="U21" s="281">
        <v>24.4</v>
      </c>
      <c r="V21" s="269"/>
      <c r="X21" s="269"/>
    </row>
    <row r="22" spans="1:24" s="175" customFormat="1" ht="11.45" customHeight="1">
      <c r="A22" s="1115" t="s">
        <v>612</v>
      </c>
      <c r="B22" s="323">
        <v>1198.93</v>
      </c>
      <c r="C22" s="323">
        <v>61.943899999999999</v>
      </c>
      <c r="D22" s="323">
        <v>51.15</v>
      </c>
      <c r="E22" s="323">
        <v>58.665500000000002</v>
      </c>
      <c r="F22" s="323">
        <v>59.389499999999998</v>
      </c>
      <c r="G22" s="323">
        <v>71.702500000000001</v>
      </c>
      <c r="H22" s="323">
        <v>380</v>
      </c>
      <c r="I22" s="323">
        <v>259</v>
      </c>
      <c r="J22" s="323" t="s">
        <v>306</v>
      </c>
      <c r="K22" s="323">
        <v>504.22399999999999</v>
      </c>
      <c r="L22" s="323" t="s">
        <v>306</v>
      </c>
      <c r="M22" s="323">
        <v>195.89599999999999</v>
      </c>
      <c r="N22" s="323">
        <v>234.3</v>
      </c>
      <c r="O22" s="323">
        <v>591.78800000000001</v>
      </c>
      <c r="P22" s="323">
        <v>604.04200000000003</v>
      </c>
      <c r="Q22" s="323">
        <v>349.71100000000001</v>
      </c>
      <c r="R22" s="323">
        <v>691.673</v>
      </c>
      <c r="S22" s="323">
        <v>24.853300000000001</v>
      </c>
      <c r="T22" s="323">
        <v>12.911</v>
      </c>
      <c r="U22" s="323">
        <v>24.39</v>
      </c>
      <c r="V22" s="269"/>
      <c r="X22" s="269"/>
    </row>
    <row r="23" spans="1:24" s="175" customFormat="1" ht="11.45" customHeight="1">
      <c r="A23" s="1114" t="s">
        <v>613</v>
      </c>
      <c r="B23" s="281">
        <v>1198.6300000000001</v>
      </c>
      <c r="C23" s="281">
        <v>64.711500000000001</v>
      </c>
      <c r="D23" s="281">
        <v>60.2333</v>
      </c>
      <c r="E23" s="281">
        <v>63.674799999999998</v>
      </c>
      <c r="F23" s="281">
        <v>64.561400000000006</v>
      </c>
      <c r="G23" s="281">
        <v>72.863200000000006</v>
      </c>
      <c r="H23" s="281">
        <v>380</v>
      </c>
      <c r="I23" s="281">
        <v>280</v>
      </c>
      <c r="J23" s="281" t="s">
        <v>306</v>
      </c>
      <c r="K23" s="281">
        <v>444.74299999999999</v>
      </c>
      <c r="L23" s="281" t="s">
        <v>306</v>
      </c>
      <c r="M23" s="281">
        <v>193.15199999999999</v>
      </c>
      <c r="N23" s="281">
        <v>234.5</v>
      </c>
      <c r="O23" s="281">
        <v>601.39700000000005</v>
      </c>
      <c r="P23" s="281">
        <v>595.471</v>
      </c>
      <c r="Q23" s="281">
        <v>340.471</v>
      </c>
      <c r="R23" s="281">
        <v>716.49</v>
      </c>
      <c r="S23" s="281">
        <v>25.732500000000002</v>
      </c>
      <c r="T23" s="281">
        <v>12.7035</v>
      </c>
      <c r="U23" s="281">
        <v>24.72</v>
      </c>
      <c r="V23" s="269"/>
      <c r="X23" s="269"/>
    </row>
    <row r="24" spans="1:24" s="175" customFormat="1" ht="11.45" customHeight="1">
      <c r="A24" s="1115" t="s">
        <v>604</v>
      </c>
      <c r="B24" s="323">
        <v>1181.5</v>
      </c>
      <c r="C24" s="323">
        <v>63.043799999999997</v>
      </c>
      <c r="D24" s="323">
        <v>62.2864</v>
      </c>
      <c r="E24" s="323">
        <v>61.758600000000001</v>
      </c>
      <c r="F24" s="323">
        <v>62.3459</v>
      </c>
      <c r="G24" s="323">
        <v>72.3523</v>
      </c>
      <c r="H24" s="323">
        <v>380</v>
      </c>
      <c r="I24" s="323">
        <v>292</v>
      </c>
      <c r="J24" s="323" t="s">
        <v>306</v>
      </c>
      <c r="K24" s="323">
        <v>466.17599999999999</v>
      </c>
      <c r="L24" s="323" t="s">
        <v>306</v>
      </c>
      <c r="M24" s="323">
        <v>199.82300000000001</v>
      </c>
      <c r="N24" s="323">
        <v>233.4</v>
      </c>
      <c r="O24" s="323">
        <v>606.404</v>
      </c>
      <c r="P24" s="323">
        <v>593.16099999999994</v>
      </c>
      <c r="Q24" s="323">
        <v>353.90199999999999</v>
      </c>
      <c r="R24" s="323">
        <v>738.03700000000003</v>
      </c>
      <c r="S24" s="323">
        <v>25.865200000000002</v>
      </c>
      <c r="T24" s="323">
        <v>12.1136</v>
      </c>
      <c r="U24" s="323">
        <v>24.76</v>
      </c>
      <c r="V24" s="269"/>
      <c r="X24" s="269"/>
    </row>
    <row r="25" spans="1:24" s="175" customFormat="1" ht="11.45" customHeight="1">
      <c r="A25" s="1114" t="s">
        <v>606</v>
      </c>
      <c r="B25" s="281">
        <v>1128.31</v>
      </c>
      <c r="C25" s="281">
        <v>63.353999999999999</v>
      </c>
      <c r="D25" s="281">
        <v>51.504300000000001</v>
      </c>
      <c r="E25" s="281">
        <v>56.266100000000002</v>
      </c>
      <c r="F25" s="281">
        <v>55.865699999999997</v>
      </c>
      <c r="G25" s="281">
        <v>72.347800000000007</v>
      </c>
      <c r="H25" s="281">
        <v>380</v>
      </c>
      <c r="I25" s="281">
        <v>273</v>
      </c>
      <c r="J25" s="281" t="s">
        <v>306</v>
      </c>
      <c r="K25" s="281">
        <v>460.57799999999997</v>
      </c>
      <c r="L25" s="281" t="s">
        <v>306</v>
      </c>
      <c r="M25" s="281">
        <v>199.197</v>
      </c>
      <c r="N25" s="281">
        <v>225.6</v>
      </c>
      <c r="O25" s="281">
        <v>575.68200000000002</v>
      </c>
      <c r="P25" s="281">
        <v>587.58799999999997</v>
      </c>
      <c r="Q25" s="281">
        <v>394.642</v>
      </c>
      <c r="R25" s="281">
        <v>695.78800000000001</v>
      </c>
      <c r="S25" s="281">
        <v>25.8688</v>
      </c>
      <c r="T25" s="281">
        <v>11.8786</v>
      </c>
      <c r="U25" s="281">
        <v>24.67</v>
      </c>
      <c r="V25" s="269"/>
      <c r="X25" s="269"/>
    </row>
    <row r="26" spans="1:24" s="175" customFormat="1" ht="11.45" customHeight="1">
      <c r="A26" s="1115" t="s">
        <v>607</v>
      </c>
      <c r="B26" s="323">
        <v>1117.93</v>
      </c>
      <c r="C26" s="323">
        <v>62.7562</v>
      </c>
      <c r="D26" s="323">
        <v>55.381</v>
      </c>
      <c r="E26" s="323">
        <v>47.3033</v>
      </c>
      <c r="F26" s="323">
        <v>46.994300000000003</v>
      </c>
      <c r="G26" s="323">
        <v>71.822500000000005</v>
      </c>
      <c r="H26" s="323">
        <v>380</v>
      </c>
      <c r="I26" s="323">
        <v>273</v>
      </c>
      <c r="J26" s="323" t="s">
        <v>306</v>
      </c>
      <c r="K26" s="323">
        <v>451.36</v>
      </c>
      <c r="L26" s="323" t="s">
        <v>306</v>
      </c>
      <c r="M26" s="323">
        <v>173.46899999999999</v>
      </c>
      <c r="N26" s="323">
        <v>230.2</v>
      </c>
      <c r="O26" s="323">
        <v>484.678</v>
      </c>
      <c r="P26" s="323">
        <v>538.529</v>
      </c>
      <c r="Q26" s="323">
        <v>370.40800000000002</v>
      </c>
      <c r="R26" s="323">
        <v>628.74699999999996</v>
      </c>
      <c r="S26" s="323">
        <v>25.947700000000001</v>
      </c>
      <c r="T26" s="323">
        <v>10.674799999999999</v>
      </c>
      <c r="U26" s="323">
        <v>24.5</v>
      </c>
      <c r="V26" s="269"/>
      <c r="X26" s="269"/>
    </row>
    <row r="27" spans="1:24" s="175" customFormat="1" ht="11.45" customHeight="1">
      <c r="A27" s="1114" t="s">
        <v>601</v>
      </c>
      <c r="B27" s="281">
        <v>1124.77</v>
      </c>
      <c r="C27" s="281">
        <v>58.655799999999999</v>
      </c>
      <c r="D27" s="281">
        <v>56.431800000000003</v>
      </c>
      <c r="E27" s="281">
        <v>46.144500000000001</v>
      </c>
      <c r="F27" s="281">
        <v>47.234499999999997</v>
      </c>
      <c r="G27" s="281">
        <v>68.736400000000003</v>
      </c>
      <c r="H27" s="281">
        <v>380</v>
      </c>
      <c r="I27" s="281">
        <v>259</v>
      </c>
      <c r="J27" s="281"/>
      <c r="K27" s="281">
        <v>458.15699999999998</v>
      </c>
      <c r="L27" s="281" t="s">
        <v>306</v>
      </c>
      <c r="M27" s="281">
        <v>163.827</v>
      </c>
      <c r="N27" s="281">
        <v>229.7</v>
      </c>
      <c r="O27" s="281">
        <v>483.48700000000002</v>
      </c>
      <c r="P27" s="281">
        <v>561.08100000000002</v>
      </c>
      <c r="Q27" s="281">
        <v>342.95499999999998</v>
      </c>
      <c r="R27" s="281">
        <v>590.25</v>
      </c>
      <c r="S27" s="281">
        <v>25.535799999999998</v>
      </c>
      <c r="T27" s="281">
        <v>12.1371</v>
      </c>
      <c r="U27" s="281">
        <v>24.434799999999999</v>
      </c>
      <c r="V27" s="269"/>
      <c r="X27" s="269"/>
    </row>
    <row r="28" spans="1:24" s="175" customFormat="1" ht="11.45" customHeight="1">
      <c r="A28" s="1115" t="s">
        <v>608</v>
      </c>
      <c r="B28" s="323">
        <v>1159.25</v>
      </c>
      <c r="C28" s="323">
        <v>56.0503</v>
      </c>
      <c r="D28" s="323">
        <v>52.740900000000003</v>
      </c>
      <c r="E28" s="323">
        <v>46.5518</v>
      </c>
      <c r="F28" s="323">
        <v>48.124099999999999</v>
      </c>
      <c r="G28" s="323">
        <v>69.027299999999997</v>
      </c>
      <c r="H28" s="323">
        <v>380</v>
      </c>
      <c r="I28" s="323">
        <v>255</v>
      </c>
      <c r="J28" s="323" t="s">
        <v>306</v>
      </c>
      <c r="K28" s="323">
        <v>405.63600000000002</v>
      </c>
      <c r="L28" s="323" t="s">
        <v>306</v>
      </c>
      <c r="M28" s="323">
        <v>165.38800000000001</v>
      </c>
      <c r="N28" s="323">
        <v>226</v>
      </c>
      <c r="O28" s="323">
        <v>530.24699999999996</v>
      </c>
      <c r="P28" s="323" t="s">
        <v>306</v>
      </c>
      <c r="Q28" s="323">
        <v>338.214</v>
      </c>
      <c r="R28" s="323">
        <v>623.80700000000002</v>
      </c>
      <c r="S28" s="323">
        <v>25.5</v>
      </c>
      <c r="T28" s="323">
        <v>14.1418</v>
      </c>
      <c r="U28" s="323">
        <v>25.0382</v>
      </c>
      <c r="V28" s="269"/>
      <c r="X28" s="269"/>
    </row>
    <row r="29" spans="1:24" s="175" customFormat="1" ht="11.45" customHeight="1">
      <c r="A29" s="1114" t="s">
        <v>609</v>
      </c>
      <c r="B29" s="281">
        <v>1086.44</v>
      </c>
      <c r="C29" s="281">
        <v>56.326500000000003</v>
      </c>
      <c r="D29" s="281">
        <v>46.161900000000003</v>
      </c>
      <c r="E29" s="281">
        <v>42.323300000000003</v>
      </c>
      <c r="F29" s="281">
        <v>44.417099999999998</v>
      </c>
      <c r="G29" s="281">
        <v>69.221400000000003</v>
      </c>
      <c r="H29" s="281">
        <v>380</v>
      </c>
      <c r="I29" s="281">
        <v>257</v>
      </c>
      <c r="J29" s="281" t="s">
        <v>306</v>
      </c>
      <c r="K29" s="281">
        <v>460.50099999999998</v>
      </c>
      <c r="L29" s="281" t="s">
        <v>306</v>
      </c>
      <c r="M29" s="281">
        <v>157.74199999999999</v>
      </c>
      <c r="N29" s="281">
        <v>229.7</v>
      </c>
      <c r="O29" s="281">
        <v>503.16399999999999</v>
      </c>
      <c r="P29" s="281" t="s">
        <v>306</v>
      </c>
      <c r="Q29" s="281">
        <v>320.34300000000002</v>
      </c>
      <c r="R29" s="281">
        <v>614.73599999999999</v>
      </c>
      <c r="S29" s="281">
        <v>25.2958</v>
      </c>
      <c r="T29" s="281">
        <v>14.888</v>
      </c>
      <c r="U29" s="281">
        <v>25.606000000000002</v>
      </c>
      <c r="V29" s="269"/>
      <c r="X29" s="269"/>
    </row>
    <row r="30" spans="1:24" s="175" customFormat="1" ht="11.45" customHeight="1">
      <c r="A30" s="1115" t="s">
        <v>602</v>
      </c>
      <c r="B30" s="323">
        <v>1075.74</v>
      </c>
      <c r="C30" s="323">
        <v>55.850900000000003</v>
      </c>
      <c r="D30" s="323">
        <v>39.604300000000002</v>
      </c>
      <c r="E30" s="323">
        <v>34.702599999999997</v>
      </c>
      <c r="F30" s="323">
        <v>37.721699999999998</v>
      </c>
      <c r="G30" s="323">
        <v>70.388099999999994</v>
      </c>
      <c r="H30" s="323">
        <v>380</v>
      </c>
      <c r="I30" s="323">
        <v>239.833</v>
      </c>
      <c r="J30" s="323" t="s">
        <v>306</v>
      </c>
      <c r="K30" s="323">
        <v>435.565</v>
      </c>
      <c r="L30" s="323" t="s">
        <v>306</v>
      </c>
      <c r="M30" s="323">
        <v>163.79300000000001</v>
      </c>
      <c r="N30" s="323">
        <v>226</v>
      </c>
      <c r="O30" s="323">
        <v>520.60299999999995</v>
      </c>
      <c r="P30" s="323" t="s">
        <v>306</v>
      </c>
      <c r="Q30" s="323">
        <v>303.86200000000002</v>
      </c>
      <c r="R30" s="323">
        <v>677.19899999999996</v>
      </c>
      <c r="S30" s="323">
        <v>24.925699999999999</v>
      </c>
      <c r="T30" s="323">
        <v>15</v>
      </c>
      <c r="U30" s="323">
        <v>25.8309</v>
      </c>
      <c r="V30" s="269"/>
      <c r="X30" s="269"/>
    </row>
    <row r="31" spans="1:24" s="175" customFormat="1" ht="11.45" customHeight="1">
      <c r="A31" s="483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306</v>
      </c>
      <c r="K31" s="153">
        <f t="shared" si="1"/>
        <v>447.19941666666676</v>
      </c>
      <c r="L31" s="153" t="s">
        <v>306</v>
      </c>
      <c r="M31" s="153">
        <f t="shared" si="1"/>
        <v>143.15049999999999</v>
      </c>
      <c r="N31" s="153" t="s">
        <v>306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9"/>
    </row>
    <row r="32" spans="1:24" s="175" customFormat="1" ht="11.45" customHeight="1">
      <c r="A32" s="1115" t="s">
        <v>610</v>
      </c>
      <c r="B32" s="323">
        <v>1097.9100000000001</v>
      </c>
      <c r="C32" s="323">
        <v>53.373899999999999</v>
      </c>
      <c r="D32" s="323">
        <v>41.252400000000002</v>
      </c>
      <c r="E32" s="323">
        <v>27.246700000000001</v>
      </c>
      <c r="F32" s="323">
        <v>30.8033</v>
      </c>
      <c r="G32" s="323">
        <v>68.75</v>
      </c>
      <c r="H32" s="323">
        <v>380</v>
      </c>
      <c r="I32" s="323">
        <v>214</v>
      </c>
      <c r="J32" s="323" t="s">
        <v>306</v>
      </c>
      <c r="K32" s="323">
        <v>419.29700000000003</v>
      </c>
      <c r="L32" s="323" t="s">
        <v>306</v>
      </c>
      <c r="M32" s="323">
        <v>164.55799999999999</v>
      </c>
      <c r="N32" s="323" t="s">
        <v>306</v>
      </c>
      <c r="O32" s="323">
        <v>531.61900000000003</v>
      </c>
      <c r="P32" s="323" t="s">
        <v>306</v>
      </c>
      <c r="Q32" s="323">
        <v>297.17700000000002</v>
      </c>
      <c r="R32" s="323">
        <v>659.90099999999995</v>
      </c>
      <c r="S32" s="323">
        <v>23.9497</v>
      </c>
      <c r="T32" s="323">
        <v>14.2911</v>
      </c>
      <c r="U32" s="323">
        <v>25.831600000000002</v>
      </c>
      <c r="V32" s="269"/>
      <c r="X32" s="269"/>
    </row>
    <row r="33" spans="1:24" s="175" customFormat="1" ht="12" customHeight="1">
      <c r="A33" s="1114" t="s">
        <v>611</v>
      </c>
      <c r="B33" s="281">
        <v>1199.5</v>
      </c>
      <c r="C33" s="281">
        <v>54.329500000000003</v>
      </c>
      <c r="D33" s="281">
        <v>46.176200000000001</v>
      </c>
      <c r="E33" s="281">
        <v>29.614799999999999</v>
      </c>
      <c r="F33" s="281">
        <v>33.198099999999997</v>
      </c>
      <c r="G33" s="281">
        <v>66.571399999999997</v>
      </c>
      <c r="H33" s="281">
        <v>329</v>
      </c>
      <c r="I33" s="281">
        <v>209</v>
      </c>
      <c r="J33" s="281" t="s">
        <v>306</v>
      </c>
      <c r="K33" s="281">
        <v>448.315</v>
      </c>
      <c r="L33" s="281" t="s">
        <v>306</v>
      </c>
      <c r="M33" s="281">
        <v>159.25200000000001</v>
      </c>
      <c r="N33" s="281" t="s">
        <v>306</v>
      </c>
      <c r="O33" s="281">
        <v>595.90099999999995</v>
      </c>
      <c r="P33" s="281" t="s">
        <v>306</v>
      </c>
      <c r="Q33" s="281">
        <v>291.36799999999999</v>
      </c>
      <c r="R33" s="281">
        <v>686.904</v>
      </c>
      <c r="S33" s="281">
        <v>23.770800000000001</v>
      </c>
      <c r="T33" s="281">
        <v>13.2905</v>
      </c>
      <c r="U33" s="281">
        <v>25.4985</v>
      </c>
      <c r="V33" s="269"/>
      <c r="X33" s="269"/>
    </row>
    <row r="34" spans="1:24" s="175" customFormat="1" ht="11.45" customHeight="1">
      <c r="A34" s="1115" t="s">
        <v>603</v>
      </c>
      <c r="B34" s="323">
        <v>1245.1400000000001</v>
      </c>
      <c r="C34" s="323">
        <v>55.917900000000003</v>
      </c>
      <c r="D34" s="323">
        <v>55.521700000000003</v>
      </c>
      <c r="E34" s="323">
        <v>35.173000000000002</v>
      </c>
      <c r="F34" s="323">
        <v>39.070900000000002</v>
      </c>
      <c r="G34" s="323">
        <v>65.457099999999997</v>
      </c>
      <c r="H34" s="323">
        <v>275</v>
      </c>
      <c r="I34" s="323">
        <v>203</v>
      </c>
      <c r="J34" s="323" t="s">
        <v>306</v>
      </c>
      <c r="K34" s="323">
        <v>434.28100000000001</v>
      </c>
      <c r="L34" s="323" t="s">
        <v>306</v>
      </c>
      <c r="M34" s="323">
        <v>164.03100000000001</v>
      </c>
      <c r="N34" s="323" t="s">
        <v>306</v>
      </c>
      <c r="O34" s="323">
        <v>633.06799999999998</v>
      </c>
      <c r="P34" s="323" t="s">
        <v>306</v>
      </c>
      <c r="Q34" s="323">
        <v>296.18099999999998</v>
      </c>
      <c r="R34" s="323">
        <v>713.85599999999999</v>
      </c>
      <c r="S34" s="323">
        <v>23.656700000000001</v>
      </c>
      <c r="T34" s="323">
        <v>15.435</v>
      </c>
      <c r="U34" s="323">
        <v>26.316800000000001</v>
      </c>
      <c r="V34" s="269"/>
      <c r="X34" s="269"/>
    </row>
    <row r="35" spans="1:24" s="175" customFormat="1" ht="11.45" customHeight="1">
      <c r="A35" s="1114" t="s">
        <v>612</v>
      </c>
      <c r="B35" s="281">
        <v>1242.26</v>
      </c>
      <c r="C35" s="281">
        <v>54.830399999999997</v>
      </c>
      <c r="D35" s="281">
        <v>59.581000000000003</v>
      </c>
      <c r="E35" s="281">
        <v>39.037599999999998</v>
      </c>
      <c r="F35" s="281">
        <v>42.247100000000003</v>
      </c>
      <c r="G35" s="281">
        <v>69.278599999999997</v>
      </c>
      <c r="H35" s="281">
        <v>278</v>
      </c>
      <c r="I35" s="281">
        <v>204</v>
      </c>
      <c r="J35" s="281" t="s">
        <v>306</v>
      </c>
      <c r="K35" s="281">
        <v>441.2</v>
      </c>
      <c r="L35" s="281" t="s">
        <v>306</v>
      </c>
      <c r="M35" s="281">
        <v>163.36500000000001</v>
      </c>
      <c r="N35" s="281" t="s">
        <v>306</v>
      </c>
      <c r="O35" s="281">
        <v>681.077</v>
      </c>
      <c r="P35" s="281">
        <v>669.2</v>
      </c>
      <c r="Q35" s="281">
        <v>327.70100000000002</v>
      </c>
      <c r="R35" s="281">
        <v>748.53099999999995</v>
      </c>
      <c r="S35" s="281">
        <v>23.670200000000001</v>
      </c>
      <c r="T35" s="281">
        <v>15.217599999999999</v>
      </c>
      <c r="U35" s="281">
        <v>27.902899999999999</v>
      </c>
      <c r="V35" s="269"/>
      <c r="X35" s="269"/>
    </row>
    <row r="36" spans="1:24" s="175" customFormat="1" ht="11.45" customHeight="1">
      <c r="A36" s="1115" t="s">
        <v>613</v>
      </c>
      <c r="B36" s="323">
        <v>1261</v>
      </c>
      <c r="C36" s="323">
        <v>55.2</v>
      </c>
      <c r="D36" s="323">
        <v>54.9</v>
      </c>
      <c r="E36" s="323">
        <v>44</v>
      </c>
      <c r="F36" s="323">
        <v>47.1</v>
      </c>
      <c r="G36" s="323">
        <v>70.3</v>
      </c>
      <c r="H36" s="323">
        <v>284</v>
      </c>
      <c r="I36" s="323">
        <v>200</v>
      </c>
      <c r="J36" s="323" t="s">
        <v>306</v>
      </c>
      <c r="K36" s="323">
        <v>448</v>
      </c>
      <c r="L36" s="323" t="s">
        <v>306</v>
      </c>
      <c r="M36" s="323">
        <v>157.5</v>
      </c>
      <c r="N36" s="323" t="s">
        <v>306</v>
      </c>
      <c r="O36" s="323">
        <v>644.6</v>
      </c>
      <c r="P36" s="323" t="s">
        <v>306</v>
      </c>
      <c r="Q36" s="323">
        <v>407.5</v>
      </c>
      <c r="R36" s="323">
        <v>707</v>
      </c>
      <c r="S36" s="323">
        <v>24.2</v>
      </c>
      <c r="T36" s="323">
        <v>16.7</v>
      </c>
      <c r="U36" s="323">
        <v>27.3</v>
      </c>
      <c r="V36" s="269"/>
    </row>
    <row r="37" spans="1:24" s="175" customFormat="1" ht="11.45" customHeight="1">
      <c r="A37" s="1114" t="s">
        <v>604</v>
      </c>
      <c r="B37" s="281">
        <v>1276.4000000000001</v>
      </c>
      <c r="C37" s="281">
        <v>57</v>
      </c>
      <c r="D37" s="281">
        <v>51.4</v>
      </c>
      <c r="E37" s="281">
        <v>45.8</v>
      </c>
      <c r="F37" s="281">
        <v>48.5</v>
      </c>
      <c r="G37" s="281">
        <v>74.099999999999994</v>
      </c>
      <c r="H37" s="281">
        <v>285</v>
      </c>
      <c r="I37" s="281">
        <v>191</v>
      </c>
      <c r="J37" s="281" t="s">
        <v>306</v>
      </c>
      <c r="K37" s="281">
        <v>455.1</v>
      </c>
      <c r="L37" s="281" t="s">
        <v>306</v>
      </c>
      <c r="M37" s="281">
        <v>156.6</v>
      </c>
      <c r="N37" s="281" t="s">
        <v>306</v>
      </c>
      <c r="O37" s="281">
        <v>618.5</v>
      </c>
      <c r="P37" s="281" t="s">
        <v>306</v>
      </c>
      <c r="Q37" s="281">
        <v>443.4</v>
      </c>
      <c r="R37" s="281">
        <v>703.6</v>
      </c>
      <c r="S37" s="281">
        <v>23.6</v>
      </c>
      <c r="T37" s="281">
        <v>19.399999999999999</v>
      </c>
      <c r="U37" s="281">
        <v>27.4</v>
      </c>
      <c r="V37" s="269"/>
    </row>
    <row r="38" spans="1:24" s="175" customFormat="1" ht="11.45" customHeight="1">
      <c r="A38" s="1115" t="s">
        <v>606</v>
      </c>
      <c r="B38" s="323">
        <v>1336.7</v>
      </c>
      <c r="C38" s="323">
        <v>66.7</v>
      </c>
      <c r="D38" s="323">
        <v>56.6</v>
      </c>
      <c r="E38" s="323">
        <v>42.7</v>
      </c>
      <c r="F38" s="323">
        <v>45.1</v>
      </c>
      <c r="G38" s="323">
        <v>81.099999999999994</v>
      </c>
      <c r="H38" s="323">
        <v>285</v>
      </c>
      <c r="I38" s="323">
        <v>177</v>
      </c>
      <c r="J38" s="323" t="s">
        <v>306</v>
      </c>
      <c r="K38" s="323">
        <v>506.3</v>
      </c>
      <c r="L38" s="323" t="s">
        <v>306</v>
      </c>
      <c r="M38" s="323">
        <v>133.6</v>
      </c>
      <c r="N38" s="323" t="s">
        <v>306</v>
      </c>
      <c r="O38" s="323">
        <v>584.20000000000005</v>
      </c>
      <c r="P38" s="323">
        <v>660.5</v>
      </c>
      <c r="Q38" s="323">
        <v>403.3</v>
      </c>
      <c r="R38" s="323">
        <v>669.9</v>
      </c>
      <c r="S38" s="323">
        <v>21.9</v>
      </c>
      <c r="T38" s="323">
        <v>19.7</v>
      </c>
      <c r="U38" s="323">
        <v>28.1</v>
      </c>
      <c r="V38" s="269"/>
    </row>
    <row r="39" spans="1:24" s="175" customFormat="1" ht="11.45" customHeight="1">
      <c r="A39" s="1114" t="s">
        <v>607</v>
      </c>
      <c r="B39" s="281">
        <v>1340.2</v>
      </c>
      <c r="C39" s="281">
        <v>72.2</v>
      </c>
      <c r="D39" s="281">
        <v>60.5</v>
      </c>
      <c r="E39" s="281">
        <v>43.6</v>
      </c>
      <c r="F39" s="281">
        <v>46.1</v>
      </c>
      <c r="G39" s="281">
        <v>80.3</v>
      </c>
      <c r="H39" s="281">
        <v>283</v>
      </c>
      <c r="I39" s="281">
        <v>182</v>
      </c>
      <c r="J39" s="281" t="s">
        <v>306</v>
      </c>
      <c r="K39" s="281">
        <v>481.7</v>
      </c>
      <c r="L39" s="281" t="s">
        <v>306</v>
      </c>
      <c r="M39" s="281">
        <v>127.9</v>
      </c>
      <c r="N39" s="281" t="s">
        <v>306</v>
      </c>
      <c r="O39" s="281">
        <v>664.4</v>
      </c>
      <c r="P39" s="281">
        <v>644.20000000000005</v>
      </c>
      <c r="Q39" s="281">
        <v>364.5</v>
      </c>
      <c r="R39" s="281">
        <v>711.7</v>
      </c>
      <c r="S39" s="281">
        <v>21.8</v>
      </c>
      <c r="T39" s="281">
        <v>20.5</v>
      </c>
      <c r="U39" s="281">
        <v>27.2</v>
      </c>
      <c r="V39" s="269"/>
    </row>
    <row r="40" spans="1:24" s="175" customFormat="1" ht="11.45" customHeight="1">
      <c r="A40" s="1115" t="s">
        <v>601</v>
      </c>
      <c r="B40" s="323">
        <v>1326.6</v>
      </c>
      <c r="C40" s="323">
        <v>78.099999999999994</v>
      </c>
      <c r="D40" s="323">
        <v>56.7</v>
      </c>
      <c r="E40" s="323">
        <v>43.8</v>
      </c>
      <c r="F40" s="323">
        <v>46.2</v>
      </c>
      <c r="G40" s="323">
        <v>77.900000000000006</v>
      </c>
      <c r="H40" s="323">
        <v>277</v>
      </c>
      <c r="I40" s="323">
        <v>191</v>
      </c>
      <c r="J40" s="323" t="s">
        <v>306</v>
      </c>
      <c r="K40" s="323">
        <v>446.9</v>
      </c>
      <c r="L40" s="323" t="s">
        <v>306</v>
      </c>
      <c r="M40" s="323">
        <v>123.2</v>
      </c>
      <c r="N40" s="323" t="s">
        <v>306</v>
      </c>
      <c r="O40" s="323">
        <v>692.4</v>
      </c>
      <c r="P40" s="323">
        <v>669.5</v>
      </c>
      <c r="Q40" s="323">
        <v>342.2</v>
      </c>
      <c r="R40" s="323">
        <v>722.6</v>
      </c>
      <c r="S40" s="323">
        <v>21.9</v>
      </c>
      <c r="T40" s="323">
        <v>21.9</v>
      </c>
      <c r="U40" s="323">
        <v>27.5</v>
      </c>
      <c r="V40" s="269"/>
    </row>
    <row r="41" spans="1:24" s="175" customFormat="1" ht="11.45" customHeight="1">
      <c r="A41" s="1114" t="s">
        <v>608</v>
      </c>
      <c r="B41" s="281">
        <v>1266.5999999999999</v>
      </c>
      <c r="C41" s="281">
        <v>99.8</v>
      </c>
      <c r="D41" s="281">
        <v>59</v>
      </c>
      <c r="E41" s="281">
        <v>48.3</v>
      </c>
      <c r="F41" s="281">
        <v>49.7</v>
      </c>
      <c r="G41" s="281">
        <v>78.5</v>
      </c>
      <c r="H41" s="281">
        <v>273</v>
      </c>
      <c r="I41" s="281">
        <v>193</v>
      </c>
      <c r="J41" s="281" t="s">
        <v>306</v>
      </c>
      <c r="K41" s="281">
        <v>429.1</v>
      </c>
      <c r="L41" s="281" t="s">
        <v>306</v>
      </c>
      <c r="M41" s="281">
        <v>122.5</v>
      </c>
      <c r="N41" s="281" t="s">
        <v>306</v>
      </c>
      <c r="O41" s="281">
        <v>651.4</v>
      </c>
      <c r="P41" s="281">
        <v>705.9</v>
      </c>
      <c r="Q41" s="281">
        <v>337.1</v>
      </c>
      <c r="R41" s="281">
        <v>757.3</v>
      </c>
      <c r="S41" s="281">
        <v>20.5</v>
      </c>
      <c r="T41" s="281">
        <v>22.9</v>
      </c>
      <c r="U41" s="281">
        <v>28.6</v>
      </c>
      <c r="V41" s="269"/>
    </row>
    <row r="42" spans="1:24" s="175" customFormat="1" ht="10.5" customHeight="1">
      <c r="A42" s="1115" t="s">
        <v>609</v>
      </c>
      <c r="B42" s="323">
        <v>1238.4000000000001</v>
      </c>
      <c r="C42" s="323">
        <v>107.2</v>
      </c>
      <c r="D42" s="323">
        <v>74.099999999999994</v>
      </c>
      <c r="E42" s="323">
        <v>43.8</v>
      </c>
      <c r="F42" s="323">
        <v>46.4</v>
      </c>
      <c r="G42" s="323">
        <v>78.900000000000006</v>
      </c>
      <c r="H42" s="323">
        <v>270</v>
      </c>
      <c r="I42" s="323">
        <v>211</v>
      </c>
      <c r="J42" s="323" t="s">
        <v>306</v>
      </c>
      <c r="K42" s="323">
        <v>440.6</v>
      </c>
      <c r="L42" s="323" t="s">
        <v>306</v>
      </c>
      <c r="M42" s="323">
        <v>122.5</v>
      </c>
      <c r="N42" s="323" t="s">
        <v>306</v>
      </c>
      <c r="O42" s="323">
        <v>670</v>
      </c>
      <c r="P42" s="323">
        <v>685.3</v>
      </c>
      <c r="Q42" s="323">
        <v>345.7</v>
      </c>
      <c r="R42" s="323">
        <v>772.4</v>
      </c>
      <c r="S42" s="323">
        <v>20.7</v>
      </c>
      <c r="T42" s="323">
        <v>20.9</v>
      </c>
      <c r="U42" s="323">
        <v>28.8</v>
      </c>
      <c r="V42" s="269"/>
    </row>
    <row r="43" spans="1:24" s="175" customFormat="1" ht="10.5" customHeight="1">
      <c r="A43" s="1114" t="s">
        <v>602</v>
      </c>
      <c r="B43" s="281">
        <v>1157.4000000000001</v>
      </c>
      <c r="C43" s="281">
        <v>92.5</v>
      </c>
      <c r="D43" s="281">
        <v>79.400000000000006</v>
      </c>
      <c r="E43" s="281">
        <v>51.8</v>
      </c>
      <c r="F43" s="281">
        <v>54.1</v>
      </c>
      <c r="G43" s="281">
        <v>79.5</v>
      </c>
      <c r="H43" s="281">
        <v>267</v>
      </c>
      <c r="I43" s="281">
        <v>216</v>
      </c>
      <c r="J43" s="281" t="s">
        <v>306</v>
      </c>
      <c r="K43" s="281">
        <v>415.6</v>
      </c>
      <c r="L43" s="281" t="s">
        <v>306</v>
      </c>
      <c r="M43" s="281">
        <v>122.8</v>
      </c>
      <c r="N43" s="281" t="s">
        <v>306</v>
      </c>
      <c r="O43" s="281">
        <v>711.8</v>
      </c>
      <c r="P43" s="281">
        <v>711.6</v>
      </c>
      <c r="Q43" s="281">
        <v>345.8</v>
      </c>
      <c r="R43" s="281">
        <v>800.3</v>
      </c>
      <c r="S43" s="281">
        <v>20.8</v>
      </c>
      <c r="T43" s="281">
        <v>18.8</v>
      </c>
      <c r="U43" s="281">
        <v>29.3</v>
      </c>
      <c r="V43" s="269"/>
    </row>
    <row r="44" spans="1:24" s="175" customFormat="1" ht="10.5" customHeight="1">
      <c r="A44" s="917">
        <v>2017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269"/>
    </row>
    <row r="45" spans="1:24" s="175" customFormat="1" ht="11.45" customHeight="1">
      <c r="A45" s="1114" t="s">
        <v>610</v>
      </c>
      <c r="B45" s="281">
        <v>1192.0999999999999</v>
      </c>
      <c r="C45" s="281">
        <v>89.7</v>
      </c>
      <c r="D45" s="281">
        <v>80.8</v>
      </c>
      <c r="E45" s="281">
        <v>53.4</v>
      </c>
      <c r="F45" s="281">
        <v>54.9</v>
      </c>
      <c r="G45" s="281">
        <v>82.3</v>
      </c>
      <c r="H45" s="281">
        <v>269</v>
      </c>
      <c r="I45" s="281">
        <v>241</v>
      </c>
      <c r="J45" s="281" t="s">
        <v>306</v>
      </c>
      <c r="K45" s="281">
        <v>422.5</v>
      </c>
      <c r="L45" s="281" t="s">
        <v>306</v>
      </c>
      <c r="M45" s="281">
        <v>137.1</v>
      </c>
      <c r="N45" s="281" t="s">
        <v>306</v>
      </c>
      <c r="O45" s="281">
        <v>726.5</v>
      </c>
      <c r="P45" s="281">
        <v>746.6</v>
      </c>
      <c r="Q45" s="281">
        <v>364.7</v>
      </c>
      <c r="R45" s="281">
        <v>771.9</v>
      </c>
      <c r="S45" s="281">
        <v>20.5</v>
      </c>
      <c r="T45" s="281">
        <v>20.5</v>
      </c>
      <c r="U45" s="281">
        <v>29</v>
      </c>
      <c r="V45" s="269"/>
    </row>
    <row r="46" spans="1:24" s="175" customFormat="1" ht="11.45" customHeight="1">
      <c r="A46" s="1115" t="s">
        <v>611</v>
      </c>
      <c r="B46" s="323">
        <v>1234.2</v>
      </c>
      <c r="C46" s="323">
        <v>86.2</v>
      </c>
      <c r="D46" s="323">
        <v>88.8</v>
      </c>
      <c r="E46" s="323">
        <v>54.2</v>
      </c>
      <c r="F46" s="323">
        <v>55.5</v>
      </c>
      <c r="G46" s="323">
        <v>85.2</v>
      </c>
      <c r="H46" s="323">
        <v>270</v>
      </c>
      <c r="I46" s="323">
        <v>247</v>
      </c>
      <c r="J46" s="323" t="s">
        <v>306</v>
      </c>
      <c r="K46" s="323">
        <v>430.1</v>
      </c>
      <c r="L46" s="323" t="s">
        <v>306</v>
      </c>
      <c r="M46" s="323">
        <v>147.30000000000001</v>
      </c>
      <c r="N46" s="323" t="s">
        <v>306</v>
      </c>
      <c r="O46" s="323">
        <v>706.8</v>
      </c>
      <c r="P46" s="323">
        <v>761.4</v>
      </c>
      <c r="Q46" s="323">
        <v>371.4</v>
      </c>
      <c r="R46" s="323">
        <v>742.9</v>
      </c>
      <c r="S46" s="323">
        <v>20.8</v>
      </c>
      <c r="T46" s="323">
        <v>20.3</v>
      </c>
      <c r="U46" s="323">
        <v>30.4</v>
      </c>
      <c r="V46" s="269"/>
    </row>
    <row r="47" spans="1:24" s="175" customFormat="1" ht="11.45" customHeight="1">
      <c r="A47" s="1114" t="s">
        <v>603</v>
      </c>
      <c r="B47" s="281">
        <v>1231.4000000000001</v>
      </c>
      <c r="C47" s="281">
        <v>86.3</v>
      </c>
      <c r="D47" s="281">
        <v>87.2</v>
      </c>
      <c r="E47" s="281">
        <v>51.2</v>
      </c>
      <c r="F47" s="281">
        <v>52</v>
      </c>
      <c r="G47" s="281">
        <v>86.8</v>
      </c>
      <c r="H47" s="281">
        <v>278</v>
      </c>
      <c r="I47" s="281">
        <v>234</v>
      </c>
      <c r="J47" s="281" t="s">
        <v>306</v>
      </c>
      <c r="K47" s="281">
        <v>424.6</v>
      </c>
      <c r="L47" s="281" t="s">
        <v>306</v>
      </c>
      <c r="M47" s="281">
        <v>146.4</v>
      </c>
      <c r="N47" s="281" t="s">
        <v>306</v>
      </c>
      <c r="O47" s="281">
        <v>663.3</v>
      </c>
      <c r="P47" s="281" t="s">
        <v>306</v>
      </c>
      <c r="Q47" s="281">
        <v>356.9</v>
      </c>
      <c r="R47" s="281">
        <v>723.4</v>
      </c>
      <c r="S47" s="281">
        <v>20.5</v>
      </c>
      <c r="T47" s="281">
        <v>18.100000000000001</v>
      </c>
      <c r="U47" s="281">
        <v>29.8</v>
      </c>
      <c r="V47" s="269"/>
    </row>
    <row r="48" spans="1:24" s="175" customFormat="1" ht="11.45" customHeight="1">
      <c r="A48" s="1115" t="s">
        <v>612</v>
      </c>
      <c r="B48" s="323">
        <v>1266.9000000000001</v>
      </c>
      <c r="C48" s="323">
        <v>90.7</v>
      </c>
      <c r="D48" s="323">
        <v>70.400000000000006</v>
      </c>
      <c r="E48" s="323">
        <v>52.4</v>
      </c>
      <c r="F48" s="323">
        <v>53.1</v>
      </c>
      <c r="G48" s="323">
        <v>87</v>
      </c>
      <c r="H48" s="323">
        <v>276</v>
      </c>
      <c r="I48" s="323">
        <v>205</v>
      </c>
      <c r="J48" s="323" t="s">
        <v>306</v>
      </c>
      <c r="K48" s="323">
        <v>410.3</v>
      </c>
      <c r="L48" s="323" t="s">
        <v>306</v>
      </c>
      <c r="M48" s="323">
        <v>138.4</v>
      </c>
      <c r="N48" s="323" t="s">
        <v>306</v>
      </c>
      <c r="O48" s="323">
        <v>623.20000000000005</v>
      </c>
      <c r="P48" s="323" t="s">
        <v>306</v>
      </c>
      <c r="Q48" s="323">
        <v>342.6</v>
      </c>
      <c r="R48" s="323">
        <v>695.3</v>
      </c>
      <c r="S48" s="323">
        <v>21</v>
      </c>
      <c r="T48" s="323">
        <v>16.399999999999999</v>
      </c>
      <c r="U48" s="323">
        <v>28.7</v>
      </c>
      <c r="V48" s="269"/>
    </row>
    <row r="49" spans="1:23" s="175" customFormat="1" ht="11.45" customHeight="1" thickBot="1">
      <c r="A49" s="511" t="s">
        <v>613</v>
      </c>
      <c r="B49" s="786">
        <v>1246</v>
      </c>
      <c r="C49" s="786" t="s">
        <v>306</v>
      </c>
      <c r="D49" s="786">
        <v>61.6</v>
      </c>
      <c r="E49" s="786">
        <v>50.3</v>
      </c>
      <c r="F49" s="786">
        <v>50.9</v>
      </c>
      <c r="G49" s="786">
        <v>88.6</v>
      </c>
      <c r="H49" s="786">
        <v>273</v>
      </c>
      <c r="I49" s="786">
        <v>180</v>
      </c>
      <c r="J49" s="786" t="s">
        <v>306</v>
      </c>
      <c r="K49" s="786">
        <v>444.7</v>
      </c>
      <c r="L49" s="786" t="s">
        <v>306</v>
      </c>
      <c r="M49" s="786">
        <v>146.5</v>
      </c>
      <c r="N49" s="786" t="s">
        <v>306</v>
      </c>
      <c r="O49" s="786">
        <v>655.5</v>
      </c>
      <c r="P49" s="786" t="s">
        <v>306</v>
      </c>
      <c r="Q49" s="786">
        <v>341</v>
      </c>
      <c r="R49" s="786">
        <v>714.1</v>
      </c>
      <c r="S49" s="786">
        <v>21.5</v>
      </c>
      <c r="T49" s="786">
        <v>15.7</v>
      </c>
      <c r="U49" s="786">
        <v>28.4</v>
      </c>
      <c r="V49" s="269"/>
    </row>
    <row r="50" spans="1:23" ht="11.25" customHeight="1">
      <c r="A50" s="10" t="s">
        <v>765</v>
      </c>
      <c r="B50" s="2322" t="s">
        <v>160</v>
      </c>
      <c r="C50" s="2322"/>
      <c r="D50" s="2322"/>
      <c r="E50" s="2322"/>
      <c r="F50" s="2322"/>
      <c r="G50" s="2322"/>
      <c r="H50" s="28"/>
      <c r="I50" s="28"/>
      <c r="J50" s="28"/>
      <c r="R50" s="1129"/>
      <c r="S50" s="1129"/>
      <c r="T50" s="13"/>
      <c r="U50" s="28"/>
    </row>
    <row r="51" spans="1:23" s="13" customFormat="1" ht="9" customHeight="1">
      <c r="B51" s="2329" t="s">
        <v>161</v>
      </c>
      <c r="C51" s="2329"/>
      <c r="D51" s="2329"/>
      <c r="E51" s="2329"/>
      <c r="F51" s="2329"/>
      <c r="G51" s="2329"/>
      <c r="H51" s="2329"/>
      <c r="I51" s="705"/>
      <c r="J51" s="705"/>
      <c r="K51" s="10" t="s">
        <v>719</v>
      </c>
      <c r="L51" s="2323" t="s">
        <v>1379</v>
      </c>
      <c r="M51" s="2323"/>
      <c r="N51" s="2323"/>
      <c r="O51" s="2323"/>
      <c r="P51" s="2323"/>
      <c r="Q51" s="2323"/>
      <c r="S51" s="1129"/>
      <c r="T51" s="1129"/>
    </row>
    <row r="52" spans="1:23" s="13" customFormat="1" ht="10.5" customHeight="1">
      <c r="B52" s="2322" t="s">
        <v>1305</v>
      </c>
      <c r="C52" s="2322"/>
      <c r="F52" s="90"/>
      <c r="G52" s="145"/>
      <c r="K52" s="13" t="s">
        <v>1541</v>
      </c>
    </row>
    <row r="53" spans="1:23" s="13" customFormat="1" ht="8.25" customHeight="1">
      <c r="A53" s="32"/>
      <c r="F53" s="90"/>
      <c r="G53" s="90"/>
      <c r="I53" s="686"/>
    </row>
    <row r="54" spans="1:23">
      <c r="C54" s="90"/>
      <c r="D54" s="90"/>
      <c r="E54" s="90"/>
      <c r="F54" s="90"/>
      <c r="G54" s="90"/>
      <c r="H54" s="90"/>
      <c r="I54" s="686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6"/>
      <c r="V54" s="686"/>
      <c r="W54" s="90"/>
    </row>
    <row r="55" spans="1:23">
      <c r="C55" s="90"/>
      <c r="D55" s="90"/>
      <c r="E55" s="90"/>
      <c r="F55" s="90"/>
      <c r="G55" s="90"/>
      <c r="H55" s="90"/>
      <c r="I55" s="686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6"/>
      <c r="V55" s="686"/>
      <c r="W55" s="90"/>
    </row>
    <row r="56" spans="1:23">
      <c r="C56" s="90"/>
      <c r="D56" s="90"/>
      <c r="E56" s="90"/>
      <c r="F56" s="90"/>
      <c r="G56" s="90"/>
      <c r="H56" s="90"/>
      <c r="I56" s="686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6"/>
      <c r="V56" s="686"/>
      <c r="W56" s="90"/>
    </row>
    <row r="57" spans="1:23" ht="10.5" customHeight="1">
      <c r="C57" s="90"/>
      <c r="D57" s="90"/>
      <c r="E57" s="90"/>
      <c r="F57" s="90"/>
      <c r="G57" s="90"/>
      <c r="H57" s="90"/>
      <c r="I57" s="686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6"/>
      <c r="V57" s="686"/>
      <c r="W57" s="90"/>
    </row>
    <row r="58" spans="1:23">
      <c r="C58" s="90"/>
      <c r="D58" s="90"/>
      <c r="E58" s="90"/>
      <c r="F58" s="90"/>
      <c r="G58" s="90"/>
      <c r="H58" s="90"/>
      <c r="I58" s="686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6"/>
      <c r="V58" s="686"/>
      <c r="W58" s="90"/>
    </row>
    <row r="59" spans="1:23">
      <c r="C59" s="90"/>
      <c r="D59" s="90"/>
      <c r="E59" s="90"/>
      <c r="F59" s="90"/>
      <c r="G59" s="90"/>
      <c r="H59" s="90"/>
      <c r="I59" s="686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6"/>
      <c r="V59" s="686"/>
      <c r="W59" s="90"/>
    </row>
    <row r="60" spans="1:23">
      <c r="C60" s="90"/>
      <c r="D60" s="90"/>
      <c r="E60" s="90"/>
      <c r="F60" s="90"/>
      <c r="G60" s="90"/>
      <c r="H60" s="90"/>
      <c r="I60" s="686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6"/>
      <c r="V60" s="686"/>
      <c r="W60" s="90"/>
    </row>
    <row r="61" spans="1:23">
      <c r="C61" s="90"/>
      <c r="D61" s="90"/>
      <c r="E61" s="90"/>
      <c r="F61" s="90"/>
      <c r="G61" s="90"/>
      <c r="H61" s="90"/>
      <c r="I61" s="686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6"/>
      <c r="V61" s="686"/>
      <c r="W61" s="90"/>
    </row>
    <row r="62" spans="1:23">
      <c r="C62" s="90"/>
      <c r="D62" s="90"/>
      <c r="E62" s="90"/>
      <c r="F62" s="90"/>
      <c r="G62" s="90"/>
      <c r="H62" s="90"/>
      <c r="I62" s="686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6"/>
      <c r="V62" s="686"/>
      <c r="W62" s="90"/>
    </row>
    <row r="63" spans="1:23">
      <c r="C63" s="90"/>
      <c r="D63" s="90"/>
      <c r="E63" s="90"/>
      <c r="F63" s="90"/>
      <c r="G63" s="90"/>
      <c r="H63" s="90"/>
      <c r="I63" s="686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6"/>
      <c r="V63" s="686"/>
      <c r="W63" s="90"/>
    </row>
    <row r="64" spans="1:23">
      <c r="C64" s="90"/>
      <c r="D64" s="90"/>
      <c r="E64" s="90"/>
      <c r="F64" s="90"/>
      <c r="G64" s="90"/>
      <c r="H64" s="90"/>
      <c r="I64" s="686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6"/>
      <c r="V64" s="686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6"/>
      <c r="V65" s="686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6"/>
      <c r="V66" s="13"/>
      <c r="W66" s="90"/>
    </row>
    <row r="67" spans="3:23">
      <c r="C67" s="90"/>
      <c r="D67" s="90"/>
      <c r="E67" s="90"/>
      <c r="F67" s="90"/>
      <c r="G67" s="90"/>
      <c r="H67" s="90"/>
      <c r="I67" s="68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6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6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6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6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6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6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6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6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45" firstPageNumber="100" orientation="portrait" useFirstPageNumber="1" r:id="rId2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3"/>
  <sheetViews>
    <sheetView zoomScale="150" zoomScaleNormal="150" workbookViewId="0">
      <pane xSplit="1" ySplit="5" topLeftCell="G36" activePane="bottomRight" state="frozen"/>
      <selection activeCell="F85" sqref="F85"/>
      <selection pane="topRight" activeCell="F85" sqref="F85"/>
      <selection pane="bottomLeft" activeCell="F85" sqref="F85"/>
      <selection pane="bottomRight" activeCell="J54" sqref="J54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302" t="s">
        <v>243</v>
      </c>
      <c r="B1" s="2302"/>
      <c r="C1" s="2302"/>
      <c r="D1" s="2302"/>
      <c r="E1" s="2302"/>
      <c r="F1" s="2302"/>
      <c r="G1" s="2302"/>
      <c r="H1" s="2302"/>
      <c r="I1" s="2302"/>
      <c r="J1" s="2335" t="s">
        <v>1426</v>
      </c>
      <c r="K1" s="2335"/>
      <c r="L1" s="2335"/>
      <c r="M1" s="2335"/>
      <c r="N1" s="2335"/>
      <c r="O1" s="2333" t="s">
        <v>1729</v>
      </c>
      <c r="P1" s="2333"/>
    </row>
    <row r="2" spans="1:18" s="21" customFormat="1" ht="9.75" customHeight="1">
      <c r="O2" s="2336" t="s">
        <v>24</v>
      </c>
      <c r="P2" s="2336"/>
    </row>
    <row r="3" spans="1:18" s="81" customFormat="1" ht="13.5" customHeight="1">
      <c r="A3" s="2188" t="s">
        <v>527</v>
      </c>
      <c r="B3" s="2184" t="s">
        <v>242</v>
      </c>
      <c r="C3" s="2404"/>
      <c r="D3" s="2404"/>
      <c r="E3" s="2404"/>
      <c r="F3" s="2404"/>
      <c r="G3" s="2404"/>
      <c r="H3" s="2404"/>
      <c r="I3" s="2404"/>
      <c r="J3" s="2404"/>
      <c r="K3" s="2210"/>
      <c r="L3" s="2184" t="s">
        <v>627</v>
      </c>
      <c r="M3" s="2404"/>
      <c r="N3" s="2404"/>
      <c r="O3" s="2405"/>
      <c r="P3" s="2112" t="s">
        <v>527</v>
      </c>
    </row>
    <row r="4" spans="1:18" s="21" customFormat="1" ht="12.75" customHeight="1">
      <c r="A4" s="2188"/>
      <c r="B4" s="2334" t="s">
        <v>841</v>
      </c>
      <c r="C4" s="2337" t="s">
        <v>294</v>
      </c>
      <c r="D4" s="2093" t="s">
        <v>1023</v>
      </c>
      <c r="E4" s="2093" t="s">
        <v>842</v>
      </c>
      <c r="F4" s="2126" t="s">
        <v>585</v>
      </c>
      <c r="G4" s="2126"/>
      <c r="H4" s="2339" t="s">
        <v>587</v>
      </c>
      <c r="I4" s="2406"/>
      <c r="J4" s="1949" t="s">
        <v>1025</v>
      </c>
      <c r="K4" s="2093" t="s">
        <v>1026</v>
      </c>
      <c r="L4" s="1949" t="s">
        <v>1024</v>
      </c>
      <c r="M4" s="1949" t="s">
        <v>1027</v>
      </c>
      <c r="N4" s="1949" t="s">
        <v>628</v>
      </c>
      <c r="O4" s="1949" t="s">
        <v>588</v>
      </c>
      <c r="P4" s="2113"/>
    </row>
    <row r="5" spans="1:18" s="21" customFormat="1" ht="11.25" customHeight="1">
      <c r="A5" s="2188"/>
      <c r="B5" s="2334"/>
      <c r="C5" s="2338"/>
      <c r="D5" s="2090"/>
      <c r="E5" s="2090"/>
      <c r="F5" s="1734" t="s">
        <v>525</v>
      </c>
      <c r="G5" s="1734" t="s">
        <v>586</v>
      </c>
      <c r="H5" s="1734" t="s">
        <v>525</v>
      </c>
      <c r="I5" s="1734" t="s">
        <v>586</v>
      </c>
      <c r="J5" s="1951"/>
      <c r="K5" s="2090"/>
      <c r="L5" s="1951"/>
      <c r="M5" s="1951"/>
      <c r="N5" s="1951"/>
      <c r="O5" s="1951"/>
      <c r="P5" s="2114"/>
    </row>
    <row r="6" spans="1:18" s="9" customFormat="1" ht="12.95" customHeight="1">
      <c r="A6" s="1733" t="s">
        <v>81</v>
      </c>
      <c r="B6" s="16">
        <v>8997.119999999999</v>
      </c>
      <c r="C6" s="16" t="s">
        <v>306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306</v>
      </c>
      <c r="P6" s="75" t="s">
        <v>81</v>
      </c>
    </row>
    <row r="7" spans="1:18" s="9" customFormat="1" ht="12.95" customHeight="1">
      <c r="A7" s="338" t="s">
        <v>199</v>
      </c>
      <c r="B7" s="328">
        <v>11574.13</v>
      </c>
      <c r="C7" s="328">
        <v>28.710000000000004</v>
      </c>
      <c r="D7" s="328">
        <v>486.18</v>
      </c>
      <c r="E7" s="328">
        <v>23007.520000000004</v>
      </c>
      <c r="F7" s="328">
        <v>17827.949999999997</v>
      </c>
      <c r="G7" s="328">
        <v>12375.810000000001</v>
      </c>
      <c r="H7" s="328">
        <v>9701.1600000000017</v>
      </c>
      <c r="I7" s="328">
        <v>3998.71</v>
      </c>
      <c r="J7" s="328">
        <v>402.94000000000005</v>
      </c>
      <c r="K7" s="328">
        <v>79403.11</v>
      </c>
      <c r="L7" s="328">
        <v>243.66</v>
      </c>
      <c r="M7" s="328">
        <v>57.26</v>
      </c>
      <c r="N7" s="328">
        <v>175.67000000000002</v>
      </c>
      <c r="O7" s="328">
        <v>1476.8200000000002</v>
      </c>
      <c r="P7" s="339" t="s">
        <v>199</v>
      </c>
    </row>
    <row r="8" spans="1:18" s="9" customFormat="1" ht="12.95" customHeight="1">
      <c r="A8" s="1439" t="s">
        <v>792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5" t="s">
        <v>792</v>
      </c>
      <c r="R8" s="171"/>
    </row>
    <row r="9" spans="1:18" s="9" customFormat="1" ht="12.95" customHeight="1">
      <c r="A9" s="338" t="s">
        <v>908</v>
      </c>
      <c r="B9" s="328">
        <v>13322.45</v>
      </c>
      <c r="C9" s="328">
        <v>33.47</v>
      </c>
      <c r="D9" s="328">
        <v>772.53</v>
      </c>
      <c r="E9" s="328">
        <v>37120.65</v>
      </c>
      <c r="F9" s="328">
        <v>26367.260000000002</v>
      </c>
      <c r="G9" s="328">
        <v>14846.48</v>
      </c>
      <c r="H9" s="328">
        <v>11985.29</v>
      </c>
      <c r="I9" s="328">
        <v>4205.01</v>
      </c>
      <c r="J9" s="328">
        <v>498.59</v>
      </c>
      <c r="K9" s="328">
        <v>109151.73</v>
      </c>
      <c r="L9" s="328">
        <v>293.5</v>
      </c>
      <c r="M9" s="328">
        <v>75.7</v>
      </c>
      <c r="N9" s="328">
        <v>166.19</v>
      </c>
      <c r="O9" s="328">
        <v>2015.1900000000003</v>
      </c>
      <c r="P9" s="339" t="s">
        <v>908</v>
      </c>
      <c r="R9" s="171"/>
    </row>
    <row r="10" spans="1:18" s="280" customFormat="1" ht="12.95" customHeight="1">
      <c r="A10" s="1735" t="s">
        <v>1108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3" t="s">
        <v>1108</v>
      </c>
      <c r="R10" s="281"/>
    </row>
    <row r="11" spans="1:18" s="280" customFormat="1" ht="12.95" customHeight="1">
      <c r="A11" s="1736" t="s">
        <v>1167</v>
      </c>
      <c r="B11" s="323">
        <v>15349.850000000002</v>
      </c>
      <c r="C11" s="323">
        <v>40.630000000000003</v>
      </c>
      <c r="D11" s="323">
        <v>960.37999999999988</v>
      </c>
      <c r="E11" s="323">
        <v>47477.399999999994</v>
      </c>
      <c r="F11" s="323">
        <v>32290.130000000005</v>
      </c>
      <c r="G11" s="323">
        <v>17690.469999999998</v>
      </c>
      <c r="H11" s="323">
        <v>15758.310000000001</v>
      </c>
      <c r="I11" s="323">
        <v>5252.42</v>
      </c>
      <c r="J11" s="323">
        <v>881.11</v>
      </c>
      <c r="K11" s="323">
        <v>135700.70000000001</v>
      </c>
      <c r="L11" s="328">
        <v>362.66</v>
      </c>
      <c r="M11" s="328">
        <v>86.53</v>
      </c>
      <c r="N11" s="328">
        <v>253.13</v>
      </c>
      <c r="O11" s="328">
        <v>2139.31</v>
      </c>
      <c r="P11" s="353" t="s">
        <v>1167</v>
      </c>
      <c r="R11" s="281"/>
    </row>
    <row r="12" spans="1:18" s="280" customFormat="1" ht="12.95" customHeight="1">
      <c r="A12" s="1735" t="s">
        <v>1299</v>
      </c>
      <c r="B12" s="281">
        <v>18016.580000000002</v>
      </c>
      <c r="C12" s="281">
        <v>32.749999999999993</v>
      </c>
      <c r="D12" s="281">
        <v>1582.0299999999997</v>
      </c>
      <c r="E12" s="281">
        <v>53235.45</v>
      </c>
      <c r="F12" s="281">
        <v>34862.82</v>
      </c>
      <c r="G12" s="281">
        <v>20583.86</v>
      </c>
      <c r="H12" s="281">
        <v>19630.96</v>
      </c>
      <c r="I12" s="281">
        <v>6560.2000000000007</v>
      </c>
      <c r="J12" s="281">
        <v>1014.0699999999999</v>
      </c>
      <c r="K12" s="281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3" t="s">
        <v>1299</v>
      </c>
      <c r="Q12" s="281"/>
    </row>
    <row r="13" spans="1:18" s="280" customFormat="1" ht="12.95" customHeight="1">
      <c r="A13" s="1736" t="s">
        <v>1332</v>
      </c>
      <c r="B13" s="323">
        <v>21069.19</v>
      </c>
      <c r="C13" s="323">
        <v>22.699999999999996</v>
      </c>
      <c r="D13" s="323">
        <v>1790.5100000000002</v>
      </c>
      <c r="E13" s="323">
        <v>52754.93</v>
      </c>
      <c r="F13" s="323">
        <v>38287.759999999995</v>
      </c>
      <c r="G13" s="323">
        <v>25561.09</v>
      </c>
      <c r="H13" s="323">
        <v>23481.699999999997</v>
      </c>
      <c r="I13" s="323">
        <v>7628.89</v>
      </c>
      <c r="J13" s="323">
        <v>1059.67</v>
      </c>
      <c r="K13" s="323">
        <v>171656.43999999997</v>
      </c>
      <c r="L13" s="328">
        <v>1684.0539999999999</v>
      </c>
      <c r="M13" s="328">
        <v>100.30000000000001</v>
      </c>
      <c r="N13" s="328">
        <v>374.15</v>
      </c>
      <c r="O13" s="328">
        <v>2470.79</v>
      </c>
      <c r="P13" s="353" t="s">
        <v>1332</v>
      </c>
      <c r="Q13" s="281"/>
    </row>
    <row r="14" spans="1:18" s="280" customFormat="1" ht="12.95" customHeight="1">
      <c r="A14" s="1735" t="s">
        <v>1471</v>
      </c>
      <c r="B14" s="281">
        <v>24502.12</v>
      </c>
      <c r="C14" s="281">
        <v>35.769999999999996</v>
      </c>
      <c r="D14" s="281">
        <v>2080.3399999999997</v>
      </c>
      <c r="E14" s="281">
        <v>64548.260000000009</v>
      </c>
      <c r="F14" s="281">
        <v>47171.799999999996</v>
      </c>
      <c r="G14" s="281">
        <v>29367.759999999998</v>
      </c>
      <c r="H14" s="281">
        <v>29639.15</v>
      </c>
      <c r="I14" s="281">
        <v>7912.2300000000005</v>
      </c>
      <c r="J14" s="281">
        <v>1149.8200000000002</v>
      </c>
      <c r="K14" s="281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3" t="s">
        <v>1471</v>
      </c>
      <c r="Q14" s="281"/>
    </row>
    <row r="15" spans="1:18" s="280" customFormat="1" ht="12.95" customHeight="1">
      <c r="A15" s="1736" t="s">
        <v>1600</v>
      </c>
      <c r="B15" s="323">
        <v>24277.399999999998</v>
      </c>
      <c r="C15" s="323">
        <v>42.169999999999995</v>
      </c>
      <c r="D15" s="323">
        <v>2373.3299999999995</v>
      </c>
      <c r="E15" s="323">
        <v>71795.500000000015</v>
      </c>
      <c r="F15" s="323">
        <v>56323.020000000004</v>
      </c>
      <c r="G15" s="323">
        <v>31398.55</v>
      </c>
      <c r="H15" s="323">
        <v>28891.02</v>
      </c>
      <c r="I15" s="323">
        <v>7664.0400000000009</v>
      </c>
      <c r="J15" s="323">
        <v>1127.3900000000001</v>
      </c>
      <c r="K15" s="323">
        <v>223892.42</v>
      </c>
      <c r="L15" s="328">
        <v>892.1400000000001</v>
      </c>
      <c r="M15" s="328">
        <v>100.23</v>
      </c>
      <c r="N15" s="328">
        <v>443.39</v>
      </c>
      <c r="O15" s="328">
        <v>3032.62</v>
      </c>
      <c r="P15" s="353" t="s">
        <v>1600</v>
      </c>
      <c r="Q15" s="281"/>
    </row>
    <row r="16" spans="1:18" s="175" customFormat="1" ht="12.95" customHeight="1">
      <c r="A16" s="1737" t="s">
        <v>1695</v>
      </c>
      <c r="B16" s="952">
        <v>23559.5</v>
      </c>
      <c r="C16" s="952">
        <v>1.0300000000000002</v>
      </c>
      <c r="D16" s="952">
        <v>2279.4000000000005</v>
      </c>
      <c r="E16" s="952">
        <v>70501.5</v>
      </c>
      <c r="F16" s="952">
        <v>56080.7</v>
      </c>
      <c r="G16" s="952">
        <v>30016.640000000007</v>
      </c>
      <c r="H16" s="952">
        <v>25471.140000000003</v>
      </c>
      <c r="I16" s="952">
        <v>6975.1500000000005</v>
      </c>
      <c r="J16" s="952">
        <v>1566.73</v>
      </c>
      <c r="K16" s="952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4" t="s">
        <v>1695</v>
      </c>
    </row>
    <row r="17" spans="1:18" s="175" customFormat="1" ht="12.95" customHeight="1">
      <c r="A17" s="1738" t="s">
        <v>1764</v>
      </c>
      <c r="B17" s="366">
        <f>SUM(B18:B29)</f>
        <v>30455.91</v>
      </c>
      <c r="C17" s="366">
        <f t="shared" ref="C17:N17" si="0">SUM(C18:C29)</f>
        <v>0.6</v>
      </c>
      <c r="D17" s="366">
        <f t="shared" si="0"/>
        <v>2418.1799999999998</v>
      </c>
      <c r="E17" s="366">
        <f t="shared" si="0"/>
        <v>86693.939999999988</v>
      </c>
      <c r="F17" s="366">
        <f t="shared" si="0"/>
        <v>63786.770000000004</v>
      </c>
      <c r="G17" s="366">
        <f t="shared" si="0"/>
        <v>38271.78</v>
      </c>
      <c r="H17" s="366">
        <f t="shared" si="0"/>
        <v>30047.73</v>
      </c>
      <c r="I17" s="366">
        <f t="shared" si="0"/>
        <v>8422.1200000000008</v>
      </c>
      <c r="J17" s="366">
        <f t="shared" si="0"/>
        <v>1592.17</v>
      </c>
      <c r="K17" s="366">
        <f t="shared" si="0"/>
        <v>261689.19999999995</v>
      </c>
      <c r="L17" s="366">
        <f t="shared" si="0"/>
        <v>840.56999999999994</v>
      </c>
      <c r="M17" s="366">
        <f t="shared" si="0"/>
        <v>87.8</v>
      </c>
      <c r="N17" s="366">
        <f t="shared" si="0"/>
        <v>318.12</v>
      </c>
      <c r="O17" s="366">
        <f>SUM(O18:O29)</f>
        <v>9056.1600000000017</v>
      </c>
      <c r="P17" s="602" t="s">
        <v>1764</v>
      </c>
    </row>
    <row r="18" spans="1:18" s="175" customFormat="1" ht="12.95" customHeight="1">
      <c r="A18" s="263" t="s">
        <v>606</v>
      </c>
      <c r="B18" s="281">
        <v>1987.76</v>
      </c>
      <c r="C18" s="281">
        <v>0</v>
      </c>
      <c r="D18" s="281">
        <v>35.74</v>
      </c>
      <c r="E18" s="281">
        <v>5312.92</v>
      </c>
      <c r="F18" s="281">
        <v>4024.77</v>
      </c>
      <c r="G18" s="281">
        <v>2518.0300000000002</v>
      </c>
      <c r="H18" s="281">
        <v>1515.97</v>
      </c>
      <c r="I18" s="281">
        <v>510.11</v>
      </c>
      <c r="J18" s="281">
        <f>0.03+43.88+2.41</f>
        <v>46.320000000000007</v>
      </c>
      <c r="K18" s="281">
        <f t="shared" ref="K18:K46" si="1">SUM(B18:J18)</f>
        <v>15951.62</v>
      </c>
      <c r="L18" s="281">
        <v>37.43</v>
      </c>
      <c r="M18" s="281">
        <v>3.16</v>
      </c>
      <c r="N18" s="281">
        <v>14.96</v>
      </c>
      <c r="O18" s="281">
        <v>689.66</v>
      </c>
      <c r="P18" s="228" t="s">
        <v>606</v>
      </c>
      <c r="R18" s="269"/>
    </row>
    <row r="19" spans="1:18" s="175" customFormat="1" ht="12.95" customHeight="1">
      <c r="A19" s="639" t="s">
        <v>607</v>
      </c>
      <c r="B19" s="323">
        <v>1979.39</v>
      </c>
      <c r="C19" s="323">
        <v>0</v>
      </c>
      <c r="D19" s="323">
        <v>50.44</v>
      </c>
      <c r="E19" s="323">
        <v>3794.74</v>
      </c>
      <c r="F19" s="323">
        <v>4032.1</v>
      </c>
      <c r="G19" s="323">
        <v>2525.42</v>
      </c>
      <c r="H19" s="323">
        <v>1608.04</v>
      </c>
      <c r="I19" s="323">
        <v>487.8</v>
      </c>
      <c r="J19" s="323">
        <f>0.1+40.63+19.38</f>
        <v>60.11</v>
      </c>
      <c r="K19" s="323">
        <f t="shared" si="1"/>
        <v>14538.04</v>
      </c>
      <c r="L19" s="323">
        <v>43.88</v>
      </c>
      <c r="M19" s="323">
        <v>4.8899999999999997</v>
      </c>
      <c r="N19" s="323">
        <v>22.29</v>
      </c>
      <c r="O19" s="323">
        <v>575.09</v>
      </c>
      <c r="P19" s="333" t="s">
        <v>607</v>
      </c>
      <c r="R19" s="269"/>
    </row>
    <row r="20" spans="1:18" s="175" customFormat="1" ht="12.95" customHeight="1">
      <c r="A20" s="263" t="s">
        <v>601</v>
      </c>
      <c r="B20" s="281">
        <v>2316.65</v>
      </c>
      <c r="C20" s="281">
        <v>0</v>
      </c>
      <c r="D20" s="281">
        <v>37.51</v>
      </c>
      <c r="E20" s="281">
        <v>7129.41</v>
      </c>
      <c r="F20" s="281">
        <v>4519.8599999999997</v>
      </c>
      <c r="G20" s="281">
        <v>2999.57</v>
      </c>
      <c r="H20" s="281">
        <v>2151.3200000000002</v>
      </c>
      <c r="I20" s="281">
        <v>633.98</v>
      </c>
      <c r="J20" s="281">
        <f>0.1+51.57+15.88</f>
        <v>67.55</v>
      </c>
      <c r="K20" s="281">
        <f t="shared" si="1"/>
        <v>19855.849999999999</v>
      </c>
      <c r="L20" s="281">
        <v>59.71</v>
      </c>
      <c r="M20" s="281">
        <v>8.1300000000000008</v>
      </c>
      <c r="N20" s="281">
        <v>20.93</v>
      </c>
      <c r="O20" s="281">
        <v>929.69</v>
      </c>
      <c r="P20" s="228" t="s">
        <v>601</v>
      </c>
      <c r="R20" s="269"/>
    </row>
    <row r="21" spans="1:18" s="175" customFormat="1" ht="12.95" customHeight="1">
      <c r="A21" s="639" t="s">
        <v>608</v>
      </c>
      <c r="B21" s="323">
        <v>2207.19</v>
      </c>
      <c r="C21" s="323">
        <v>0</v>
      </c>
      <c r="D21" s="323">
        <v>45.93</v>
      </c>
      <c r="E21" s="323">
        <v>5476.73</v>
      </c>
      <c r="F21" s="323">
        <v>4810.53</v>
      </c>
      <c r="G21" s="323">
        <v>2889.27</v>
      </c>
      <c r="H21" s="323">
        <v>2593.1799999999998</v>
      </c>
      <c r="I21" s="323">
        <v>709.97</v>
      </c>
      <c r="J21" s="323">
        <f>0.07+63.01+18.99</f>
        <v>82.07</v>
      </c>
      <c r="K21" s="323">
        <f t="shared" si="1"/>
        <v>18814.87</v>
      </c>
      <c r="L21" s="323">
        <v>65.06</v>
      </c>
      <c r="M21" s="323">
        <v>10.98</v>
      </c>
      <c r="N21" s="323">
        <v>17.98</v>
      </c>
      <c r="O21" s="323">
        <v>862.74</v>
      </c>
      <c r="P21" s="333" t="s">
        <v>608</v>
      </c>
      <c r="R21" s="269"/>
    </row>
    <row r="22" spans="1:18" s="175" customFormat="1" ht="12.95" customHeight="1">
      <c r="A22" s="263" t="s">
        <v>609</v>
      </c>
      <c r="B22" s="281">
        <v>2336.5300000000002</v>
      </c>
      <c r="C22" s="281">
        <v>0</v>
      </c>
      <c r="D22" s="281">
        <v>55.93</v>
      </c>
      <c r="E22" s="281">
        <v>5097.28</v>
      </c>
      <c r="F22" s="281">
        <v>5087.13</v>
      </c>
      <c r="G22" s="281">
        <v>2900.11</v>
      </c>
      <c r="H22" s="281">
        <v>2618.7800000000002</v>
      </c>
      <c r="I22" s="281">
        <v>711.85</v>
      </c>
      <c r="J22" s="281">
        <f>0.04+60.08+29.27</f>
        <v>89.39</v>
      </c>
      <c r="K22" s="281">
        <f t="shared" si="1"/>
        <v>18896.999999999996</v>
      </c>
      <c r="L22" s="281">
        <v>60.44</v>
      </c>
      <c r="M22" s="281">
        <v>6.89</v>
      </c>
      <c r="N22" s="281">
        <v>19.93</v>
      </c>
      <c r="O22" s="281">
        <v>1209.8599999999999</v>
      </c>
      <c r="P22" s="228" t="s">
        <v>609</v>
      </c>
      <c r="R22" s="269"/>
    </row>
    <row r="23" spans="1:18" s="175" customFormat="1" ht="12.95" customHeight="1">
      <c r="A23" s="639" t="s">
        <v>602</v>
      </c>
      <c r="B23" s="323">
        <v>2349.64</v>
      </c>
      <c r="C23" s="323">
        <v>0</v>
      </c>
      <c r="D23" s="323">
        <v>1086.43</v>
      </c>
      <c r="E23" s="323">
        <v>9001.6</v>
      </c>
      <c r="F23" s="323">
        <v>5382.05</v>
      </c>
      <c r="G23" s="323">
        <v>2874.17</v>
      </c>
      <c r="H23" s="323">
        <v>2544.0700000000002</v>
      </c>
      <c r="I23" s="323">
        <v>705.67</v>
      </c>
      <c r="J23" s="323">
        <f>0.15+67.98+36.01</f>
        <v>104.14000000000001</v>
      </c>
      <c r="K23" s="323">
        <f t="shared" si="1"/>
        <v>24047.769999999997</v>
      </c>
      <c r="L23" s="323">
        <v>79.2</v>
      </c>
      <c r="M23" s="323">
        <v>8.2100000000000009</v>
      </c>
      <c r="N23" s="323">
        <v>18.47</v>
      </c>
      <c r="O23" s="323">
        <v>131.77000000000001</v>
      </c>
      <c r="P23" s="333" t="s">
        <v>602</v>
      </c>
      <c r="R23" s="269"/>
    </row>
    <row r="24" spans="1:18" s="175" customFormat="1" ht="12.95" customHeight="1">
      <c r="A24" s="263" t="s">
        <v>610</v>
      </c>
      <c r="B24" s="281">
        <v>2523.4299999999998</v>
      </c>
      <c r="C24" s="281">
        <v>0</v>
      </c>
      <c r="D24" s="281">
        <v>499.05</v>
      </c>
      <c r="E24" s="281">
        <v>7002.03</v>
      </c>
      <c r="F24" s="281">
        <v>5565.98</v>
      </c>
      <c r="G24" s="281">
        <v>2952.73</v>
      </c>
      <c r="H24" s="281">
        <v>2762.09</v>
      </c>
      <c r="I24" s="281">
        <v>673.84</v>
      </c>
      <c r="J24" s="281">
        <f>0.08+67.39+22.61</f>
        <v>90.08</v>
      </c>
      <c r="K24" s="281">
        <f t="shared" si="1"/>
        <v>22069.230000000003</v>
      </c>
      <c r="L24" s="281">
        <v>70.47</v>
      </c>
      <c r="M24" s="281">
        <v>9.25</v>
      </c>
      <c r="N24" s="281">
        <v>20.02</v>
      </c>
      <c r="O24" s="281">
        <v>795.31</v>
      </c>
      <c r="P24" s="228" t="s">
        <v>610</v>
      </c>
      <c r="R24" s="269"/>
    </row>
    <row r="25" spans="1:18" s="175" customFormat="1" ht="12.95" customHeight="1">
      <c r="A25" s="639" t="s">
        <v>611</v>
      </c>
      <c r="B25" s="323">
        <v>2617.89</v>
      </c>
      <c r="C25" s="323">
        <v>0</v>
      </c>
      <c r="D25" s="323">
        <v>329.49</v>
      </c>
      <c r="E25" s="323">
        <v>5375.3</v>
      </c>
      <c r="F25" s="323">
        <v>5312.55</v>
      </c>
      <c r="G25" s="323">
        <v>3050.02</v>
      </c>
      <c r="H25" s="323">
        <v>2857.77</v>
      </c>
      <c r="I25" s="323">
        <v>776.54</v>
      </c>
      <c r="J25" s="323">
        <f>0.08+64.83+48.02</f>
        <v>112.93</v>
      </c>
      <c r="K25" s="323">
        <f t="shared" si="1"/>
        <v>20432.490000000002</v>
      </c>
      <c r="L25" s="323">
        <v>64.680000000000007</v>
      </c>
      <c r="M25" s="323">
        <v>8.18</v>
      </c>
      <c r="N25" s="323">
        <v>17.25</v>
      </c>
      <c r="O25" s="323">
        <v>823.87</v>
      </c>
      <c r="P25" s="333" t="s">
        <v>611</v>
      </c>
      <c r="R25" s="269"/>
    </row>
    <row r="26" spans="1:18" s="175" customFormat="1" ht="12.95" customHeight="1">
      <c r="A26" s="263" t="s">
        <v>603</v>
      </c>
      <c r="B26" s="281">
        <v>3142.97</v>
      </c>
      <c r="C26" s="281">
        <v>0</v>
      </c>
      <c r="D26" s="281">
        <v>78.489999999999995</v>
      </c>
      <c r="E26" s="281">
        <v>8696.6</v>
      </c>
      <c r="F26" s="281">
        <v>5195.6899999999996</v>
      </c>
      <c r="G26" s="281">
        <v>3792.03</v>
      </c>
      <c r="H26" s="281">
        <v>3135.4</v>
      </c>
      <c r="I26" s="281">
        <v>816.15</v>
      </c>
      <c r="J26" s="281">
        <f>0.61+73.07+41.08</f>
        <v>114.75999999999999</v>
      </c>
      <c r="K26" s="281">
        <f t="shared" si="1"/>
        <v>24972.09</v>
      </c>
      <c r="L26" s="281">
        <v>65.150000000000006</v>
      </c>
      <c r="M26" s="281">
        <v>11.12</v>
      </c>
      <c r="N26" s="281">
        <v>19.940000000000001</v>
      </c>
      <c r="O26" s="281">
        <v>950.97</v>
      </c>
      <c r="P26" s="228" t="s">
        <v>603</v>
      </c>
      <c r="R26" s="269"/>
    </row>
    <row r="27" spans="1:18" s="175" customFormat="1" ht="12.95" customHeight="1">
      <c r="A27" s="639" t="s">
        <v>612</v>
      </c>
      <c r="B27" s="323">
        <v>2819.02</v>
      </c>
      <c r="C27" s="323">
        <v>0</v>
      </c>
      <c r="D27" s="323">
        <v>56.3</v>
      </c>
      <c r="E27" s="323">
        <v>4454.95</v>
      </c>
      <c r="F27" s="323">
        <v>4969.71</v>
      </c>
      <c r="G27" s="323">
        <v>3583.46</v>
      </c>
      <c r="H27" s="323">
        <v>3214.89</v>
      </c>
      <c r="I27" s="323">
        <v>740.44</v>
      </c>
      <c r="J27" s="323">
        <f>0.05+70.74+44.21</f>
        <v>115</v>
      </c>
      <c r="K27" s="323">
        <f t="shared" si="1"/>
        <v>19953.769999999997</v>
      </c>
      <c r="L27" s="323">
        <v>49.38</v>
      </c>
      <c r="M27" s="323">
        <v>6.38</v>
      </c>
      <c r="N27" s="323">
        <v>12.48</v>
      </c>
      <c r="O27" s="323">
        <v>403.47</v>
      </c>
      <c r="P27" s="333" t="s">
        <v>612</v>
      </c>
      <c r="R27" s="269"/>
    </row>
    <row r="28" spans="1:18" s="175" customFormat="1" ht="12.95" customHeight="1">
      <c r="A28" s="263" t="s">
        <v>613</v>
      </c>
      <c r="B28" s="281">
        <v>2661.3</v>
      </c>
      <c r="C28" s="281">
        <v>0</v>
      </c>
      <c r="D28" s="281">
        <v>55.21</v>
      </c>
      <c r="E28" s="281">
        <v>5643.04</v>
      </c>
      <c r="F28" s="281">
        <v>6015.29</v>
      </c>
      <c r="G28" s="281">
        <v>3606.56</v>
      </c>
      <c r="H28" s="281">
        <v>3327.94</v>
      </c>
      <c r="I28" s="281">
        <v>705.92</v>
      </c>
      <c r="J28" s="281">
        <f>0.05+80.16+31.11</f>
        <v>111.32</v>
      </c>
      <c r="K28" s="281">
        <f t="shared" si="1"/>
        <v>22126.579999999998</v>
      </c>
      <c r="L28" s="281">
        <v>70.25</v>
      </c>
      <c r="M28" s="281">
        <v>4.8499999999999996</v>
      </c>
      <c r="N28" s="281">
        <v>19.36</v>
      </c>
      <c r="O28" s="281">
        <v>526.99</v>
      </c>
      <c r="P28" s="228" t="s">
        <v>613</v>
      </c>
    </row>
    <row r="29" spans="1:18" s="175" customFormat="1" ht="12.95" customHeight="1">
      <c r="A29" s="639" t="s">
        <v>604</v>
      </c>
      <c r="B29" s="323">
        <v>3514.14</v>
      </c>
      <c r="C29" s="323">
        <v>0.6</v>
      </c>
      <c r="D29" s="323">
        <v>87.66</v>
      </c>
      <c r="E29" s="323">
        <v>19709.34</v>
      </c>
      <c r="F29" s="323">
        <v>8871.11</v>
      </c>
      <c r="G29" s="323">
        <v>4580.41</v>
      </c>
      <c r="H29" s="323">
        <v>1718.28</v>
      </c>
      <c r="I29" s="323">
        <v>949.85</v>
      </c>
      <c r="J29" s="323">
        <f>0.09+569.75+28.66</f>
        <v>598.5</v>
      </c>
      <c r="K29" s="323">
        <f t="shared" si="1"/>
        <v>40029.889999999992</v>
      </c>
      <c r="L29" s="323">
        <v>174.92</v>
      </c>
      <c r="M29" s="323">
        <v>5.76</v>
      </c>
      <c r="N29" s="323">
        <v>114.51</v>
      </c>
      <c r="O29" s="323">
        <v>1156.74</v>
      </c>
      <c r="P29" s="333" t="s">
        <v>604</v>
      </c>
    </row>
    <row r="30" spans="1:18" s="175" customFormat="1" ht="12.95" customHeight="1">
      <c r="A30" s="984" t="s">
        <v>2165</v>
      </c>
      <c r="B30" s="374">
        <f>SUM(B31:B42)</f>
        <v>35276.579999999994</v>
      </c>
      <c r="C30" s="374">
        <f t="shared" ref="C30:O30" si="2">SUM(C31:C42)</f>
        <v>0.67</v>
      </c>
      <c r="D30" s="374">
        <f t="shared" si="2"/>
        <v>3102.86</v>
      </c>
      <c r="E30" s="374">
        <f t="shared" si="2"/>
        <v>102908.16</v>
      </c>
      <c r="F30" s="374">
        <f t="shared" si="2"/>
        <v>72606.449999999983</v>
      </c>
      <c r="G30" s="374">
        <f t="shared" si="2"/>
        <v>44328.739999999991</v>
      </c>
      <c r="H30" s="374">
        <f t="shared" si="2"/>
        <v>31234.449999999997</v>
      </c>
      <c r="I30" s="374">
        <f t="shared" si="2"/>
        <v>9817.81</v>
      </c>
      <c r="J30" s="374">
        <f t="shared" si="2"/>
        <v>2358.12</v>
      </c>
      <c r="K30" s="374">
        <f t="shared" si="2"/>
        <v>301633.83999999997</v>
      </c>
      <c r="L30" s="374">
        <f t="shared" si="2"/>
        <v>860.08999999999992</v>
      </c>
      <c r="M30" s="374">
        <f t="shared" ref="M30" si="3">SUM(M31:M42)</f>
        <v>124.69</v>
      </c>
      <c r="N30" s="374">
        <f t="shared" si="2"/>
        <v>230.06</v>
      </c>
      <c r="O30" s="374">
        <f t="shared" si="2"/>
        <v>10402.980000000001</v>
      </c>
      <c r="P30" s="398" t="s">
        <v>2165</v>
      </c>
    </row>
    <row r="31" spans="1:18" s="175" customFormat="1" ht="12.95" customHeight="1">
      <c r="A31" s="639" t="s">
        <v>606</v>
      </c>
      <c r="B31" s="323">
        <v>1933.39</v>
      </c>
      <c r="C31" s="323">
        <v>0.62</v>
      </c>
      <c r="D31" s="323">
        <v>34.65</v>
      </c>
      <c r="E31" s="323">
        <v>4711.41</v>
      </c>
      <c r="F31" s="323">
        <v>4267.47</v>
      </c>
      <c r="G31" s="323">
        <v>2499.27</v>
      </c>
      <c r="H31" s="323">
        <v>1353.4</v>
      </c>
      <c r="I31" s="323">
        <v>481.4</v>
      </c>
      <c r="J31" s="323">
        <f>0.03+41.93+20.68</f>
        <v>62.64</v>
      </c>
      <c r="K31" s="323">
        <f t="shared" si="1"/>
        <v>15344.25</v>
      </c>
      <c r="L31" s="323">
        <v>9.6300000000000008</v>
      </c>
      <c r="M31" s="323">
        <v>1.89</v>
      </c>
      <c r="N31" s="323">
        <v>5.6</v>
      </c>
      <c r="O31" s="323">
        <v>216.96</v>
      </c>
      <c r="P31" s="333" t="s">
        <v>606</v>
      </c>
    </row>
    <row r="32" spans="1:18" s="175" customFormat="1" ht="12.95" customHeight="1">
      <c r="A32" s="263" t="s">
        <v>607</v>
      </c>
      <c r="B32" s="281">
        <v>2556.0500000000002</v>
      </c>
      <c r="C32" s="281">
        <v>0.05</v>
      </c>
      <c r="D32" s="281">
        <v>59.01</v>
      </c>
      <c r="E32" s="281">
        <v>5242.96</v>
      </c>
      <c r="F32" s="281">
        <v>4805.08</v>
      </c>
      <c r="G32" s="281">
        <v>3370.35</v>
      </c>
      <c r="H32" s="281">
        <v>2346.04</v>
      </c>
      <c r="I32" s="281">
        <v>720.73</v>
      </c>
      <c r="J32" s="281">
        <f>0.06+57.89+27.84</f>
        <v>85.79</v>
      </c>
      <c r="K32" s="281">
        <f t="shared" si="1"/>
        <v>19186.060000000001</v>
      </c>
      <c r="L32" s="281">
        <v>40.49</v>
      </c>
      <c r="M32" s="281">
        <v>4.97</v>
      </c>
      <c r="N32" s="281">
        <v>10.44</v>
      </c>
      <c r="O32" s="281">
        <v>744.89</v>
      </c>
      <c r="P32" s="228" t="s">
        <v>607</v>
      </c>
    </row>
    <row r="33" spans="1:16" s="175" customFormat="1" ht="13.35" customHeight="1">
      <c r="A33" s="639" t="s">
        <v>601</v>
      </c>
      <c r="B33" s="323">
        <v>3230.7</v>
      </c>
      <c r="C33" s="323">
        <v>0</v>
      </c>
      <c r="D33" s="323">
        <v>65.010000000000005</v>
      </c>
      <c r="E33" s="323">
        <v>7917</v>
      </c>
      <c r="F33" s="323">
        <v>5418.97</v>
      </c>
      <c r="G33" s="323">
        <v>3663.92</v>
      </c>
      <c r="H33" s="323">
        <v>2581.77</v>
      </c>
      <c r="I33" s="323">
        <v>810.3</v>
      </c>
      <c r="J33" s="323">
        <f>0.11+62.51+29.52</f>
        <v>92.14</v>
      </c>
      <c r="K33" s="323">
        <f t="shared" si="1"/>
        <v>23779.809999999998</v>
      </c>
      <c r="L33" s="323">
        <v>77.52</v>
      </c>
      <c r="M33" s="323">
        <v>11.43</v>
      </c>
      <c r="N33" s="323">
        <v>17.739999999999998</v>
      </c>
      <c r="O33" s="323">
        <v>1113.45</v>
      </c>
      <c r="P33" s="333" t="s">
        <v>601</v>
      </c>
    </row>
    <row r="34" spans="1:16" s="175" customFormat="1" ht="13.35" customHeight="1">
      <c r="A34" s="263" t="s">
        <v>608</v>
      </c>
      <c r="B34" s="281">
        <v>2723.41</v>
      </c>
      <c r="C34" s="281">
        <v>0</v>
      </c>
      <c r="D34" s="281">
        <v>63.38</v>
      </c>
      <c r="E34" s="281">
        <v>5669.14</v>
      </c>
      <c r="F34" s="281">
        <v>5388.53</v>
      </c>
      <c r="G34" s="281">
        <v>3598.02</v>
      </c>
      <c r="H34" s="281">
        <v>2780.14</v>
      </c>
      <c r="I34" s="281">
        <v>763.56</v>
      </c>
      <c r="J34" s="281">
        <f>0.07+69.88+51.69</f>
        <v>121.63999999999999</v>
      </c>
      <c r="K34" s="281">
        <f t="shared" si="1"/>
        <v>21107.82</v>
      </c>
      <c r="L34" s="281">
        <v>70.36</v>
      </c>
      <c r="M34" s="281">
        <v>8.6999999999999993</v>
      </c>
      <c r="N34" s="281">
        <v>14.11</v>
      </c>
      <c r="O34" s="281">
        <v>927.89</v>
      </c>
      <c r="P34" s="228" t="s">
        <v>608</v>
      </c>
    </row>
    <row r="35" spans="1:16" s="175" customFormat="1" ht="13.35" customHeight="1">
      <c r="A35" s="639" t="s">
        <v>609</v>
      </c>
      <c r="B35" s="323">
        <v>2877.57</v>
      </c>
      <c r="C35" s="323">
        <v>0</v>
      </c>
      <c r="D35" s="323">
        <v>74.62</v>
      </c>
      <c r="E35" s="323">
        <v>5971.02</v>
      </c>
      <c r="F35" s="323">
        <v>5698.88</v>
      </c>
      <c r="G35" s="323">
        <v>3780.48</v>
      </c>
      <c r="H35" s="323">
        <v>2717.93</v>
      </c>
      <c r="I35" s="323">
        <v>809.11</v>
      </c>
      <c r="J35" s="323">
        <f>0.03+143.01+57.19</f>
        <v>200.23</v>
      </c>
      <c r="K35" s="323">
        <f t="shared" si="1"/>
        <v>22129.84</v>
      </c>
      <c r="L35" s="323">
        <v>74.91</v>
      </c>
      <c r="M35" s="323">
        <v>9.6</v>
      </c>
      <c r="N35" s="323">
        <v>15.54</v>
      </c>
      <c r="O35" s="323">
        <v>1039.56</v>
      </c>
      <c r="P35" s="333" t="s">
        <v>609</v>
      </c>
    </row>
    <row r="36" spans="1:16" s="175" customFormat="1" ht="13.35" customHeight="1">
      <c r="A36" s="263" t="s">
        <v>602</v>
      </c>
      <c r="B36" s="281">
        <v>2909.25</v>
      </c>
      <c r="C36" s="281">
        <v>0</v>
      </c>
      <c r="D36" s="281">
        <v>1491.55</v>
      </c>
      <c r="E36" s="281">
        <v>9859.65</v>
      </c>
      <c r="F36" s="281">
        <v>6021.3</v>
      </c>
      <c r="G36" s="281">
        <v>3594.78</v>
      </c>
      <c r="H36" s="281">
        <v>2663.02</v>
      </c>
      <c r="I36" s="281">
        <v>820.46</v>
      </c>
      <c r="J36" s="281">
        <f>0.06+76.51+77.04</f>
        <v>153.61000000000001</v>
      </c>
      <c r="K36" s="281">
        <f t="shared" si="1"/>
        <v>27513.62</v>
      </c>
      <c r="L36" s="281">
        <v>62.34</v>
      </c>
      <c r="M36" s="281">
        <v>10.34</v>
      </c>
      <c r="N36" s="281">
        <v>9.8699999999999992</v>
      </c>
      <c r="O36" s="281">
        <v>133.12</v>
      </c>
      <c r="P36" s="228" t="s">
        <v>602</v>
      </c>
    </row>
    <row r="37" spans="1:16" s="175" customFormat="1" ht="13.35" customHeight="1">
      <c r="A37" s="639" t="s">
        <v>610</v>
      </c>
      <c r="B37" s="323">
        <v>2955.71</v>
      </c>
      <c r="C37" s="323">
        <v>0</v>
      </c>
      <c r="D37" s="323">
        <v>527.32000000000005</v>
      </c>
      <c r="E37" s="323">
        <v>7036.32</v>
      </c>
      <c r="F37" s="323">
        <v>6147.76</v>
      </c>
      <c r="G37" s="323">
        <v>3780.5</v>
      </c>
      <c r="H37" s="323">
        <v>2921.99</v>
      </c>
      <c r="I37" s="323">
        <v>798.25</v>
      </c>
      <c r="J37" s="323">
        <f>0+84.47+97.28</f>
        <v>181.75</v>
      </c>
      <c r="K37" s="323">
        <f t="shared" si="1"/>
        <v>24349.599999999999</v>
      </c>
      <c r="L37" s="323">
        <v>67.81</v>
      </c>
      <c r="M37" s="323">
        <v>12.74</v>
      </c>
      <c r="N37" s="323">
        <v>10.31</v>
      </c>
      <c r="O37" s="323">
        <v>1146.31</v>
      </c>
      <c r="P37" s="333" t="s">
        <v>610</v>
      </c>
    </row>
    <row r="38" spans="1:16" s="175" customFormat="1" ht="13.35" customHeight="1">
      <c r="A38" s="263" t="s">
        <v>611</v>
      </c>
      <c r="B38" s="281">
        <v>3081.62</v>
      </c>
      <c r="C38" s="281">
        <v>0</v>
      </c>
      <c r="D38" s="281">
        <v>259.25</v>
      </c>
      <c r="E38" s="281">
        <v>6446.87</v>
      </c>
      <c r="F38" s="281">
        <v>5615.67</v>
      </c>
      <c r="G38" s="281">
        <v>4060.43</v>
      </c>
      <c r="H38" s="281">
        <v>2491.92</v>
      </c>
      <c r="I38" s="281">
        <v>905.89</v>
      </c>
      <c r="J38" s="281">
        <f>0.11+65+92.7</f>
        <v>157.81</v>
      </c>
      <c r="K38" s="281">
        <f t="shared" si="1"/>
        <v>23019.460000000003</v>
      </c>
      <c r="L38" s="281">
        <v>60.46</v>
      </c>
      <c r="M38" s="281">
        <v>10.4</v>
      </c>
      <c r="N38" s="281">
        <v>9.15</v>
      </c>
      <c r="O38" s="281">
        <v>906.21</v>
      </c>
      <c r="P38" s="228" t="s">
        <v>611</v>
      </c>
    </row>
    <row r="39" spans="1:16" s="175" customFormat="1" ht="13.35" customHeight="1">
      <c r="A39" s="639" t="s">
        <v>603</v>
      </c>
      <c r="B39" s="323">
        <v>3239.52</v>
      </c>
      <c r="C39" s="323">
        <v>0</v>
      </c>
      <c r="D39" s="323">
        <v>118.55</v>
      </c>
      <c r="E39" s="323">
        <v>10252.530000000001</v>
      </c>
      <c r="F39" s="323">
        <v>5801.56</v>
      </c>
      <c r="G39" s="323">
        <v>4078.89</v>
      </c>
      <c r="H39" s="323">
        <v>2909.53</v>
      </c>
      <c r="I39" s="323">
        <v>977.75</v>
      </c>
      <c r="J39" s="323">
        <f>0.08+72.83+97.34</f>
        <v>170.25</v>
      </c>
      <c r="K39" s="323">
        <f t="shared" si="1"/>
        <v>27548.579999999998</v>
      </c>
      <c r="L39" s="323">
        <v>72.77</v>
      </c>
      <c r="M39" s="323">
        <v>12.22</v>
      </c>
      <c r="N39" s="323">
        <v>9.8800000000000008</v>
      </c>
      <c r="O39" s="323">
        <v>1205.1400000000001</v>
      </c>
      <c r="P39" s="333" t="s">
        <v>603</v>
      </c>
    </row>
    <row r="40" spans="1:16" s="175" customFormat="1" ht="13.35" customHeight="1">
      <c r="A40" s="263" t="s">
        <v>612</v>
      </c>
      <c r="B40" s="281">
        <v>3155.35</v>
      </c>
      <c r="C40" s="281">
        <v>0</v>
      </c>
      <c r="D40" s="281">
        <v>118.21</v>
      </c>
      <c r="E40" s="281">
        <v>6003.38</v>
      </c>
      <c r="F40" s="281">
        <v>6289.82</v>
      </c>
      <c r="G40" s="281">
        <v>3937.06</v>
      </c>
      <c r="H40" s="281">
        <v>3139.3</v>
      </c>
      <c r="I40" s="281">
        <v>886.71</v>
      </c>
      <c r="J40" s="281">
        <f>0+75.8+118.21</f>
        <v>194.01</v>
      </c>
      <c r="K40" s="281">
        <f t="shared" si="1"/>
        <v>23723.839999999997</v>
      </c>
      <c r="L40" s="281">
        <v>70.13</v>
      </c>
      <c r="M40" s="281">
        <v>10.75</v>
      </c>
      <c r="N40" s="281">
        <v>9.2899999999999991</v>
      </c>
      <c r="O40" s="281">
        <v>889.69</v>
      </c>
      <c r="P40" s="228" t="s">
        <v>612</v>
      </c>
    </row>
    <row r="41" spans="1:16" s="175" customFormat="1" ht="13.35" customHeight="1">
      <c r="A41" s="639" t="s">
        <v>613</v>
      </c>
      <c r="B41" s="323">
        <v>3016.07</v>
      </c>
      <c r="C41" s="323">
        <v>0</v>
      </c>
      <c r="D41" s="323">
        <v>131.63999999999999</v>
      </c>
      <c r="E41" s="323">
        <v>7411.86</v>
      </c>
      <c r="F41" s="323">
        <v>6736.2</v>
      </c>
      <c r="G41" s="323">
        <v>3621.81</v>
      </c>
      <c r="H41" s="323">
        <v>3104.94</v>
      </c>
      <c r="I41" s="323">
        <v>791.81</v>
      </c>
      <c r="J41" s="323">
        <f>0.02+257.86+94.48</f>
        <v>352.36</v>
      </c>
      <c r="K41" s="323">
        <f t="shared" si="1"/>
        <v>25166.690000000002</v>
      </c>
      <c r="L41" s="323">
        <v>66.36</v>
      </c>
      <c r="M41" s="323">
        <v>16.86</v>
      </c>
      <c r="N41" s="323">
        <v>7.35</v>
      </c>
      <c r="O41" s="323">
        <v>794.95</v>
      </c>
      <c r="P41" s="333" t="s">
        <v>613</v>
      </c>
    </row>
    <row r="42" spans="1:16" s="175" customFormat="1" ht="13.35" customHeight="1">
      <c r="A42" s="263" t="s">
        <v>604</v>
      </c>
      <c r="B42" s="281">
        <v>3597.94</v>
      </c>
      <c r="C42" s="281">
        <v>0</v>
      </c>
      <c r="D42" s="281">
        <v>159.66999999999999</v>
      </c>
      <c r="E42" s="281">
        <v>26386.02</v>
      </c>
      <c r="F42" s="281">
        <v>10415.209999999999</v>
      </c>
      <c r="G42" s="281">
        <v>4343.2299999999996</v>
      </c>
      <c r="H42" s="281">
        <v>2224.4699999999998</v>
      </c>
      <c r="I42" s="281">
        <v>1051.8399999999999</v>
      </c>
      <c r="J42" s="281">
        <f>0.06+466.15+119.68</f>
        <v>585.89</v>
      </c>
      <c r="K42" s="281">
        <f t="shared" si="1"/>
        <v>48764.26999999999</v>
      </c>
      <c r="L42" s="281">
        <v>187.31</v>
      </c>
      <c r="M42" s="281">
        <v>14.79</v>
      </c>
      <c r="N42" s="281">
        <v>110.78</v>
      </c>
      <c r="O42" s="281">
        <v>1284.81</v>
      </c>
      <c r="P42" s="228" t="s">
        <v>604</v>
      </c>
    </row>
    <row r="43" spans="1:16" s="175" customFormat="1" ht="13.35" customHeight="1">
      <c r="A43" s="1627" t="s">
        <v>2482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35" t="s">
        <v>2482</v>
      </c>
    </row>
    <row r="44" spans="1:16" s="175" customFormat="1" ht="13.35" customHeight="1">
      <c r="A44" s="263" t="s">
        <v>2593</v>
      </c>
      <c r="B44" s="281">
        <v>2692.53</v>
      </c>
      <c r="C44" s="281">
        <v>0.7</v>
      </c>
      <c r="D44" s="281">
        <v>4768.28</v>
      </c>
      <c r="E44" s="281">
        <v>4659.8599999999997</v>
      </c>
      <c r="F44" s="281">
        <v>1368.51</v>
      </c>
      <c r="G44" s="281">
        <v>3315.15</v>
      </c>
      <c r="H44" s="281">
        <v>115.56</v>
      </c>
      <c r="I44" s="281">
        <v>758.3</v>
      </c>
      <c r="J44" s="281">
        <f>0.03+46.95+95.22</f>
        <v>142.19999999999999</v>
      </c>
      <c r="K44" s="281">
        <f t="shared" si="1"/>
        <v>17821.09</v>
      </c>
      <c r="L44" s="281">
        <v>44.05</v>
      </c>
      <c r="M44" s="281">
        <v>4.9000000000000004</v>
      </c>
      <c r="N44" s="281">
        <v>6.43</v>
      </c>
      <c r="O44" s="281">
        <v>1011.8</v>
      </c>
      <c r="P44" s="228" t="s">
        <v>2593</v>
      </c>
    </row>
    <row r="45" spans="1:16" s="175" customFormat="1" ht="13.35" customHeight="1">
      <c r="A45" s="639" t="s">
        <v>607</v>
      </c>
      <c r="B45" s="323">
        <v>3330.91</v>
      </c>
      <c r="C45" s="323">
        <v>1.57</v>
      </c>
      <c r="D45" s="323">
        <v>124.41</v>
      </c>
      <c r="E45" s="323">
        <v>5544.96</v>
      </c>
      <c r="F45" s="323">
        <v>5987.25</v>
      </c>
      <c r="G45" s="323">
        <v>3861.21</v>
      </c>
      <c r="H45" s="323">
        <v>2556.65</v>
      </c>
      <c r="I45" s="323">
        <v>903.23</v>
      </c>
      <c r="J45" s="323">
        <f>0.02+65.37+96.78</f>
        <v>162.17000000000002</v>
      </c>
      <c r="K45" s="323">
        <f t="shared" si="1"/>
        <v>22472.36</v>
      </c>
      <c r="L45" s="323">
        <v>68.16</v>
      </c>
      <c r="M45" s="323">
        <v>9.11</v>
      </c>
      <c r="N45" s="323">
        <v>7.59</v>
      </c>
      <c r="O45" s="323">
        <v>1235.6600000000001</v>
      </c>
      <c r="P45" s="333" t="s">
        <v>607</v>
      </c>
    </row>
    <row r="46" spans="1:16" s="175" customFormat="1" ht="13.35" customHeight="1">
      <c r="A46" s="263" t="s">
        <v>601</v>
      </c>
      <c r="B46" s="281">
        <v>3026.84</v>
      </c>
      <c r="C46" s="281">
        <v>0.24</v>
      </c>
      <c r="D46" s="281">
        <v>142.9</v>
      </c>
      <c r="E46" s="281">
        <v>9606.2900000000009</v>
      </c>
      <c r="F46" s="281">
        <v>6178.06</v>
      </c>
      <c r="G46" s="281">
        <v>3732.29</v>
      </c>
      <c r="H46" s="281">
        <v>3105.3</v>
      </c>
      <c r="I46" s="281">
        <v>831.97</v>
      </c>
      <c r="J46" s="281">
        <f>0.05+87.31+122.68</f>
        <v>210.04000000000002</v>
      </c>
      <c r="K46" s="281">
        <f t="shared" si="1"/>
        <v>26833.930000000004</v>
      </c>
      <c r="L46" s="281">
        <v>93.55</v>
      </c>
      <c r="M46" s="281">
        <v>10.07</v>
      </c>
      <c r="N46" s="281">
        <v>7.57</v>
      </c>
      <c r="O46" s="281">
        <v>1192.28</v>
      </c>
      <c r="P46" s="228" t="s">
        <v>601</v>
      </c>
    </row>
    <row r="47" spans="1:16" s="175" customFormat="1" ht="13.35" customHeight="1" thickBot="1">
      <c r="A47" s="1724" t="s">
        <v>608</v>
      </c>
      <c r="B47" s="524">
        <v>2979.88</v>
      </c>
      <c r="C47" s="524">
        <v>0.19</v>
      </c>
      <c r="D47" s="524">
        <v>158.94999999999999</v>
      </c>
      <c r="E47" s="524">
        <v>6527.94</v>
      </c>
      <c r="F47" s="524">
        <v>6392.95</v>
      </c>
      <c r="G47" s="524">
        <v>3666.87</v>
      </c>
      <c r="H47" s="524">
        <v>3023.35</v>
      </c>
      <c r="I47" s="524">
        <v>834.99</v>
      </c>
      <c r="J47" s="524">
        <f>0.02+75.37+129.79</f>
        <v>205.18</v>
      </c>
      <c r="K47" s="524">
        <f>B47+C47+D47+E47+F47+G47+H47+I47+J47</f>
        <v>23790.3</v>
      </c>
      <c r="L47" s="524">
        <v>70.59</v>
      </c>
      <c r="M47" s="524" t="s">
        <v>306</v>
      </c>
      <c r="N47" s="524" t="s">
        <v>306</v>
      </c>
      <c r="O47" s="524">
        <v>1235.6600000000001</v>
      </c>
      <c r="P47" s="1696" t="s">
        <v>608</v>
      </c>
    </row>
    <row r="48" spans="1:16" s="8" customFormat="1">
      <c r="A48" s="123" t="s">
        <v>2397</v>
      </c>
      <c r="B48" s="92"/>
      <c r="C48" s="92"/>
      <c r="D48" s="92"/>
      <c r="E48" s="92"/>
      <c r="F48" s="708"/>
      <c r="G48" s="708"/>
      <c r="H48" s="9"/>
      <c r="I48" s="9"/>
      <c r="O48" s="92"/>
      <c r="P48" s="92"/>
    </row>
    <row r="49" spans="1:16">
      <c r="A49" s="92" t="s">
        <v>2396</v>
      </c>
      <c r="B49" s="92"/>
      <c r="G49" s="8"/>
      <c r="H49" s="33" t="s">
        <v>2386</v>
      </c>
      <c r="I49" s="8"/>
      <c r="O49" s="92"/>
      <c r="P49" s="92"/>
    </row>
    <row r="50" spans="1:16">
      <c r="B50" s="523"/>
      <c r="C50" s="523"/>
      <c r="D50" s="523"/>
      <c r="E50" s="523"/>
      <c r="F50" s="90"/>
      <c r="G50" s="523"/>
      <c r="H50" s="523"/>
      <c r="I50" s="523"/>
      <c r="J50" s="523"/>
      <c r="K50" s="523"/>
    </row>
    <row r="51" spans="1:16">
      <c r="F51" s="90"/>
      <c r="J51" s="523"/>
      <c r="K51" s="281"/>
    </row>
    <row r="52" spans="1:16">
      <c r="F52" s="90"/>
      <c r="J52" s="523"/>
      <c r="K52" s="281"/>
      <c r="L52" s="523"/>
    </row>
    <row r="53" spans="1:16">
      <c r="B53" s="523"/>
      <c r="C53" s="523"/>
      <c r="D53" s="523"/>
      <c r="E53" s="523"/>
      <c r="F53" s="90"/>
      <c r="G53" s="523"/>
      <c r="H53" s="523"/>
      <c r="I53" s="523"/>
      <c r="J53" s="523"/>
      <c r="K53" s="281"/>
      <c r="L53" s="523"/>
    </row>
    <row r="54" spans="1:16">
      <c r="B54" s="523"/>
      <c r="C54" s="523"/>
      <c r="D54" s="523"/>
      <c r="E54" s="523"/>
      <c r="F54" s="90"/>
      <c r="G54" s="523"/>
      <c r="H54" s="523"/>
      <c r="I54" s="523"/>
      <c r="J54" s="523"/>
      <c r="K54" s="281"/>
      <c r="L54" s="523"/>
    </row>
    <row r="55" spans="1:16">
      <c r="F55" s="90"/>
      <c r="J55" s="523"/>
      <c r="K55" s="281"/>
      <c r="L55" s="523"/>
    </row>
    <row r="56" spans="1:16">
      <c r="F56" s="90"/>
      <c r="J56" s="523"/>
      <c r="K56" s="281"/>
      <c r="L56" s="523"/>
    </row>
    <row r="57" spans="1:16">
      <c r="F57" s="90"/>
      <c r="K57" s="281"/>
      <c r="L57" s="523"/>
    </row>
    <row r="58" spans="1:16">
      <c r="B58" s="523"/>
      <c r="C58" s="523"/>
      <c r="D58" s="523"/>
      <c r="E58" s="523"/>
      <c r="F58" s="90"/>
      <c r="G58" s="523"/>
      <c r="H58" s="523"/>
      <c r="I58" s="523"/>
      <c r="J58" s="523"/>
      <c r="K58" s="281"/>
      <c r="L58" s="523"/>
    </row>
    <row r="59" spans="1:16">
      <c r="B59" s="523"/>
      <c r="C59" s="523"/>
      <c r="D59" s="523"/>
      <c r="E59" s="523"/>
      <c r="F59" s="523"/>
      <c r="G59" s="523"/>
      <c r="H59" s="523"/>
      <c r="I59" s="523"/>
      <c r="J59" s="523"/>
      <c r="K59" s="281"/>
      <c r="L59" s="523"/>
    </row>
    <row r="60" spans="1:16">
      <c r="B60" s="523"/>
      <c r="C60" s="523"/>
      <c r="D60" s="523"/>
      <c r="E60" s="523"/>
      <c r="F60" s="523"/>
      <c r="G60" s="523"/>
      <c r="H60" s="523"/>
      <c r="I60" s="523"/>
      <c r="J60" s="523"/>
      <c r="K60" s="281"/>
      <c r="L60" s="523"/>
    </row>
    <row r="61" spans="1:16">
      <c r="B61" s="523"/>
      <c r="C61" s="523"/>
      <c r="D61" s="523"/>
      <c r="E61" s="523"/>
      <c r="F61" s="523"/>
      <c r="G61" s="523"/>
      <c r="H61" s="523"/>
      <c r="I61" s="523"/>
      <c r="J61" s="523"/>
      <c r="K61" s="523"/>
      <c r="L61" s="523"/>
    </row>
    <row r="62" spans="1:16">
      <c r="B62" s="523"/>
      <c r="C62" s="523"/>
      <c r="D62" s="523"/>
      <c r="E62" s="523"/>
      <c r="F62" s="523"/>
      <c r="G62" s="523"/>
      <c r="H62" s="523"/>
      <c r="I62" s="523"/>
      <c r="J62" s="523"/>
      <c r="K62" s="523"/>
    </row>
    <row r="63" spans="1:16">
      <c r="B63" s="523"/>
      <c r="C63" s="523"/>
      <c r="D63" s="523"/>
      <c r="E63" s="523"/>
      <c r="F63" s="523"/>
      <c r="G63" s="523"/>
      <c r="H63" s="523"/>
      <c r="I63" s="523"/>
      <c r="J63" s="52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45" firstPageNumber="102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U76"/>
  <sheetViews>
    <sheetView zoomScale="120" zoomScaleNormal="120" workbookViewId="0">
      <pane xSplit="1" ySplit="5" topLeftCell="E33" activePane="bottomRight" state="frozen"/>
      <selection activeCell="L47" sqref="L47"/>
      <selection pane="topRight" activeCell="L47" sqref="L47"/>
      <selection pane="bottomLeft" activeCell="L47" sqref="L47"/>
      <selection pane="bottomRight" activeCell="I42" sqref="I42"/>
    </sheetView>
  </sheetViews>
  <sheetFormatPr defaultColWidth="8.85546875" defaultRowHeight="15"/>
  <cols>
    <col min="1" max="1" width="8.140625" style="769" customWidth="1"/>
    <col min="2" max="2" width="8.42578125" style="769" customWidth="1"/>
    <col min="3" max="3" width="10.42578125" style="769" customWidth="1"/>
    <col min="4" max="4" width="8.42578125" style="769" customWidth="1"/>
    <col min="5" max="5" width="9.140625" style="769" bestFit="1" customWidth="1"/>
    <col min="6" max="6" width="8" style="769" customWidth="1"/>
    <col min="7" max="7" width="9.28515625" style="769" customWidth="1"/>
    <col min="8" max="8" width="10.28515625" style="769" customWidth="1"/>
    <col min="9" max="9" width="10.140625" style="769" customWidth="1"/>
    <col min="10" max="10" width="11" style="769" customWidth="1"/>
    <col min="11" max="11" width="8" style="769" customWidth="1"/>
    <col min="12" max="12" width="9" style="769" customWidth="1"/>
    <col min="13" max="13" width="7.28515625" style="769" customWidth="1"/>
    <col min="14" max="14" width="7.85546875" style="769" customWidth="1"/>
    <col min="15" max="15" width="5.28515625" style="769" customWidth="1"/>
    <col min="16" max="16" width="7.85546875" style="769" customWidth="1"/>
    <col min="17" max="17" width="7.42578125" style="769" customWidth="1"/>
    <col min="18" max="18" width="8.140625" style="769" customWidth="1"/>
    <col min="19" max="16384" width="8.85546875" style="769"/>
  </cols>
  <sheetData>
    <row r="1" spans="1:19" s="767" customFormat="1" ht="17.45" customHeight="1">
      <c r="A1" s="766"/>
      <c r="G1" s="776" t="s">
        <v>2218</v>
      </c>
      <c r="I1" s="768"/>
      <c r="J1" s="776" t="s">
        <v>1589</v>
      </c>
      <c r="K1" s="777"/>
      <c r="L1" s="768"/>
      <c r="M1" s="768"/>
      <c r="R1" s="2340" t="s">
        <v>1728</v>
      </c>
      <c r="S1" s="2340"/>
    </row>
    <row r="2" spans="1:19" ht="21">
      <c r="C2" s="770"/>
      <c r="R2" s="2341" t="s">
        <v>24</v>
      </c>
      <c r="S2" s="2341"/>
    </row>
    <row r="3" spans="1:19" ht="13.9" customHeight="1">
      <c r="A3" s="2350" t="s">
        <v>521</v>
      </c>
      <c r="B3" s="2342" t="s">
        <v>528</v>
      </c>
      <c r="C3" s="2342" t="s">
        <v>1579</v>
      </c>
      <c r="D3" s="2344" t="s">
        <v>1572</v>
      </c>
      <c r="E3" s="2344"/>
      <c r="F3" s="2344"/>
      <c r="G3" s="2346" t="s">
        <v>1559</v>
      </c>
      <c r="H3" s="2347" t="s">
        <v>1573</v>
      </c>
      <c r="I3" s="2348"/>
      <c r="J3" s="2348"/>
      <c r="K3" s="2348"/>
      <c r="L3" s="2349"/>
      <c r="M3" s="2346" t="s">
        <v>1598</v>
      </c>
      <c r="N3" s="2346" t="s">
        <v>1599</v>
      </c>
      <c r="O3" s="2346" t="s">
        <v>1560</v>
      </c>
      <c r="P3" s="2345" t="s">
        <v>1561</v>
      </c>
      <c r="Q3" s="2346" t="s">
        <v>1562</v>
      </c>
      <c r="R3" s="2346" t="s">
        <v>1563</v>
      </c>
      <c r="S3" s="2346" t="s">
        <v>1564</v>
      </c>
    </row>
    <row r="4" spans="1:19" ht="90.75" customHeight="1">
      <c r="A4" s="2350"/>
      <c r="B4" s="2343"/>
      <c r="C4" s="2343"/>
      <c r="D4" s="1286" t="s">
        <v>1580</v>
      </c>
      <c r="E4" s="1286" t="s">
        <v>1578</v>
      </c>
      <c r="F4" s="1371" t="s">
        <v>1576</v>
      </c>
      <c r="G4" s="2346"/>
      <c r="H4" s="1286" t="s">
        <v>124</v>
      </c>
      <c r="I4" s="1286" t="s">
        <v>1590</v>
      </c>
      <c r="J4" s="1286" t="s">
        <v>1597</v>
      </c>
      <c r="K4" s="1286" t="s">
        <v>1727</v>
      </c>
      <c r="L4" s="1286" t="s">
        <v>1577</v>
      </c>
      <c r="M4" s="2346"/>
      <c r="N4" s="2346"/>
      <c r="O4" s="2346"/>
      <c r="P4" s="2345"/>
      <c r="Q4" s="2346"/>
      <c r="R4" s="2346"/>
      <c r="S4" s="2346"/>
    </row>
    <row r="5" spans="1:19" ht="17.25" customHeight="1">
      <c r="A5" s="2350"/>
      <c r="B5" s="775">
        <v>1</v>
      </c>
      <c r="C5" s="775">
        <v>2</v>
      </c>
      <c r="D5" s="775">
        <v>3</v>
      </c>
      <c r="E5" s="775">
        <v>4</v>
      </c>
      <c r="F5" s="775">
        <v>5</v>
      </c>
      <c r="G5" s="775">
        <v>6</v>
      </c>
      <c r="H5" s="775">
        <v>7</v>
      </c>
      <c r="I5" s="775">
        <v>8</v>
      </c>
      <c r="J5" s="775">
        <v>9</v>
      </c>
      <c r="K5" s="775">
        <v>10</v>
      </c>
      <c r="L5" s="775">
        <v>11</v>
      </c>
      <c r="M5" s="775">
        <v>12</v>
      </c>
      <c r="N5" s="775">
        <v>13</v>
      </c>
      <c r="O5" s="775">
        <v>14</v>
      </c>
      <c r="P5" s="775">
        <v>15</v>
      </c>
      <c r="Q5" s="775">
        <v>16</v>
      </c>
      <c r="R5" s="775">
        <v>17</v>
      </c>
      <c r="S5" s="775">
        <v>18</v>
      </c>
    </row>
    <row r="6" spans="1:19" ht="12.75" customHeight="1">
      <c r="A6" s="1504" t="s">
        <v>1471</v>
      </c>
      <c r="B6" s="1503">
        <v>253510</v>
      </c>
      <c r="C6" s="1503">
        <v>7347.2</v>
      </c>
      <c r="D6" s="1503">
        <v>22375.9</v>
      </c>
      <c r="E6" s="1503">
        <v>9706.7000000000007</v>
      </c>
      <c r="F6" s="1503">
        <v>12669.2</v>
      </c>
      <c r="G6" s="1503">
        <v>5756.5</v>
      </c>
      <c r="H6" s="1503">
        <v>153411.20000000001</v>
      </c>
      <c r="I6" s="1503">
        <v>78799.199999999997</v>
      </c>
      <c r="J6" s="1503">
        <v>3.3</v>
      </c>
      <c r="K6" s="1503">
        <v>0</v>
      </c>
      <c r="L6" s="1503">
        <v>232213.7</v>
      </c>
      <c r="M6" s="1503">
        <v>345.5</v>
      </c>
      <c r="N6" s="1503">
        <v>0</v>
      </c>
      <c r="O6" s="1503">
        <v>0</v>
      </c>
      <c r="P6" s="1503">
        <v>0</v>
      </c>
      <c r="Q6" s="1503">
        <v>0</v>
      </c>
      <c r="R6" s="1503">
        <v>30308.5</v>
      </c>
      <c r="S6" s="1503">
        <v>16415.2</v>
      </c>
    </row>
    <row r="7" spans="1:19" ht="12.75" customHeight="1">
      <c r="A7" s="1595" t="s">
        <v>1600</v>
      </c>
      <c r="B7" s="1596">
        <v>257195.6</v>
      </c>
      <c r="C7" s="1596">
        <v>7031.1</v>
      </c>
      <c r="D7" s="1596">
        <v>32153.4</v>
      </c>
      <c r="E7" s="1596">
        <v>10645.9</v>
      </c>
      <c r="F7" s="1596">
        <v>21507.5</v>
      </c>
      <c r="G7" s="1596">
        <v>5537.7</v>
      </c>
      <c r="H7" s="1596">
        <v>168858.3</v>
      </c>
      <c r="I7" s="1596">
        <v>75787.5</v>
      </c>
      <c r="J7" s="1596">
        <v>13.1</v>
      </c>
      <c r="K7" s="1596">
        <v>0</v>
      </c>
      <c r="L7" s="1596">
        <v>244658.9</v>
      </c>
      <c r="M7" s="1596">
        <v>411.8</v>
      </c>
      <c r="N7" s="1596">
        <v>0</v>
      </c>
      <c r="O7" s="1596">
        <v>0</v>
      </c>
      <c r="P7" s="1596">
        <v>0</v>
      </c>
      <c r="Q7" s="1596">
        <v>0</v>
      </c>
      <c r="R7" s="1596">
        <v>33548.6</v>
      </c>
      <c r="S7" s="1596">
        <v>12652.6</v>
      </c>
    </row>
    <row r="8" spans="1:19" s="951" customFormat="1" ht="12.75" customHeight="1">
      <c r="A8" s="1505" t="s">
        <v>1695</v>
      </c>
      <c r="B8" s="1287">
        <v>286040.90000000002</v>
      </c>
      <c r="C8" s="1287">
        <v>15922.6</v>
      </c>
      <c r="D8" s="1287">
        <v>47201.9</v>
      </c>
      <c r="E8" s="1287">
        <v>14955.8</v>
      </c>
      <c r="F8" s="1287">
        <v>32246.100000000002</v>
      </c>
      <c r="G8" s="1287">
        <v>5752</v>
      </c>
      <c r="H8" s="1287">
        <v>206552.2</v>
      </c>
      <c r="I8" s="1287">
        <v>76360.399999999994</v>
      </c>
      <c r="J8" s="1287">
        <v>28.9</v>
      </c>
      <c r="K8" s="1287">
        <v>0</v>
      </c>
      <c r="L8" s="1287">
        <v>282941.5</v>
      </c>
      <c r="M8" s="1287">
        <v>1272.5</v>
      </c>
      <c r="N8" s="1287">
        <v>0</v>
      </c>
      <c r="O8" s="1287">
        <v>0</v>
      </c>
      <c r="P8" s="1287">
        <v>0</v>
      </c>
      <c r="Q8" s="1287">
        <v>0</v>
      </c>
      <c r="R8" s="1287">
        <v>36493.599999999999</v>
      </c>
      <c r="S8" s="1287">
        <v>19254</v>
      </c>
    </row>
    <row r="9" spans="1:19" s="951" customFormat="1" ht="12.75" customHeight="1">
      <c r="A9" s="1506" t="s">
        <v>1764</v>
      </c>
      <c r="B9" s="1290">
        <f>B21</f>
        <v>366917.3</v>
      </c>
      <c r="C9" s="1290">
        <f t="shared" ref="C9:S9" si="0">C21</f>
        <v>22091.200000000001</v>
      </c>
      <c r="D9" s="1290">
        <f t="shared" si="0"/>
        <v>33870.800000000003</v>
      </c>
      <c r="E9" s="1290">
        <f t="shared" si="0"/>
        <v>25244.5</v>
      </c>
      <c r="F9" s="1290">
        <f t="shared" si="0"/>
        <v>8626.3000000000029</v>
      </c>
      <c r="G9" s="1290">
        <f t="shared" si="0"/>
        <v>5935.6</v>
      </c>
      <c r="H9" s="1290">
        <f t="shared" si="0"/>
        <v>225322.2</v>
      </c>
      <c r="I9" s="1290">
        <f t="shared" si="0"/>
        <v>121126</v>
      </c>
      <c r="J9" s="1290">
        <f t="shared" si="0"/>
        <v>57.5</v>
      </c>
      <c r="K9" s="1290">
        <f t="shared" si="0"/>
        <v>0</v>
      </c>
      <c r="L9" s="1290">
        <f t="shared" si="0"/>
        <v>346505.7</v>
      </c>
      <c r="M9" s="1290">
        <f t="shared" si="0"/>
        <v>1529.9</v>
      </c>
      <c r="N9" s="1290">
        <f t="shared" si="0"/>
        <v>0</v>
      </c>
      <c r="O9" s="1290">
        <f t="shared" si="0"/>
        <v>0</v>
      </c>
      <c r="P9" s="1290">
        <f t="shared" si="0"/>
        <v>0</v>
      </c>
      <c r="Q9" s="1290">
        <f t="shared" si="0"/>
        <v>0</v>
      </c>
      <c r="R9" s="1290">
        <f t="shared" si="0"/>
        <v>43524.7</v>
      </c>
      <c r="S9" s="1290">
        <f t="shared" si="0"/>
        <v>12010.1</v>
      </c>
    </row>
    <row r="10" spans="1:19" s="951" customFormat="1" ht="12.75" customHeight="1">
      <c r="A10" s="950" t="s">
        <v>606</v>
      </c>
      <c r="B10" s="1289">
        <v>297267.3</v>
      </c>
      <c r="C10" s="1289">
        <v>15894.6</v>
      </c>
      <c r="D10" s="1289">
        <v>44884.800000000003</v>
      </c>
      <c r="E10" s="1289">
        <v>15935.8</v>
      </c>
      <c r="F10" s="1289">
        <f t="shared" ref="F10:F33" si="1">D10-E10</f>
        <v>28949.000000000004</v>
      </c>
      <c r="G10" s="1289">
        <v>5741.8</v>
      </c>
      <c r="H10" s="1289">
        <v>223127.4</v>
      </c>
      <c r="I10" s="1289">
        <v>67214.7</v>
      </c>
      <c r="J10" s="1289">
        <v>29.5</v>
      </c>
      <c r="K10" s="1289">
        <v>0</v>
      </c>
      <c r="L10" s="1289">
        <f t="shared" ref="L10:L39" si="2">H10+I10+J10+K10</f>
        <v>290371.59999999998</v>
      </c>
      <c r="M10" s="1289">
        <v>829.2</v>
      </c>
      <c r="N10" s="1289">
        <v>0</v>
      </c>
      <c r="O10" s="1289">
        <v>0</v>
      </c>
      <c r="P10" s="1289">
        <v>0</v>
      </c>
      <c r="Q10" s="1289">
        <v>0</v>
      </c>
      <c r="R10" s="1289">
        <v>38672.9</v>
      </c>
      <c r="S10" s="1289">
        <v>17979</v>
      </c>
    </row>
    <row r="11" spans="1:19" s="951" customFormat="1" ht="12.75" customHeight="1">
      <c r="A11" s="949" t="s">
        <v>607</v>
      </c>
      <c r="B11" s="1288">
        <v>307682.09999999998</v>
      </c>
      <c r="C11" s="1288">
        <v>11207</v>
      </c>
      <c r="D11" s="1288">
        <v>36664.400000000001</v>
      </c>
      <c r="E11" s="1288">
        <v>23318.7</v>
      </c>
      <c r="F11" s="1288">
        <f t="shared" si="1"/>
        <v>13345.7</v>
      </c>
      <c r="G11" s="1288">
        <v>5754</v>
      </c>
      <c r="H11" s="1288">
        <v>210318.5</v>
      </c>
      <c r="I11" s="1288">
        <v>70109</v>
      </c>
      <c r="J11" s="1288">
        <v>52.6</v>
      </c>
      <c r="K11" s="1288">
        <v>0</v>
      </c>
      <c r="L11" s="1288">
        <f t="shared" si="2"/>
        <v>280480.09999999998</v>
      </c>
      <c r="M11" s="1288">
        <v>3895.1</v>
      </c>
      <c r="N11" s="1288">
        <v>0</v>
      </c>
      <c r="O11" s="1288">
        <v>0</v>
      </c>
      <c r="P11" s="1288">
        <v>0</v>
      </c>
      <c r="Q11" s="1288">
        <v>0</v>
      </c>
      <c r="R11" s="1288">
        <v>40088.1</v>
      </c>
      <c r="S11" s="1288">
        <v>13525.5</v>
      </c>
    </row>
    <row r="12" spans="1:19" s="951" customFormat="1" ht="12.75" customHeight="1">
      <c r="A12" s="950" t="s">
        <v>601</v>
      </c>
      <c r="B12" s="1289">
        <v>313615.5</v>
      </c>
      <c r="C12" s="1289">
        <v>11994.1</v>
      </c>
      <c r="D12" s="1289">
        <v>34017.1</v>
      </c>
      <c r="E12" s="1289">
        <v>30769.599999999999</v>
      </c>
      <c r="F12" s="1289">
        <f t="shared" si="1"/>
        <v>3247.5</v>
      </c>
      <c r="G12" s="1289">
        <v>5782.9</v>
      </c>
      <c r="H12" s="1289">
        <v>204033.4</v>
      </c>
      <c r="I12" s="1289">
        <v>75239.3</v>
      </c>
      <c r="J12" s="1289">
        <v>5.9</v>
      </c>
      <c r="K12" s="1289">
        <v>0</v>
      </c>
      <c r="L12" s="1289">
        <f t="shared" si="2"/>
        <v>279278.60000000003</v>
      </c>
      <c r="M12" s="1289">
        <v>1447.3</v>
      </c>
      <c r="N12" s="1289">
        <v>0</v>
      </c>
      <c r="O12" s="1289">
        <v>0</v>
      </c>
      <c r="P12" s="1289">
        <v>0</v>
      </c>
      <c r="Q12" s="1289">
        <v>0</v>
      </c>
      <c r="R12" s="1289">
        <v>39175.1</v>
      </c>
      <c r="S12" s="1289">
        <v>14739</v>
      </c>
    </row>
    <row r="13" spans="1:19" s="951" customFormat="1" ht="12.75" customHeight="1">
      <c r="A13" s="949" t="s">
        <v>608</v>
      </c>
      <c r="B13" s="1288">
        <v>322386.3</v>
      </c>
      <c r="C13" s="1288">
        <v>13399</v>
      </c>
      <c r="D13" s="1288">
        <v>34965.9</v>
      </c>
      <c r="E13" s="1288">
        <v>32311.4</v>
      </c>
      <c r="F13" s="1288">
        <f t="shared" si="1"/>
        <v>2654.5</v>
      </c>
      <c r="G13" s="1288">
        <v>5798.4</v>
      </c>
      <c r="H13" s="1288">
        <v>202262.3</v>
      </c>
      <c r="I13" s="1288">
        <v>85343.4</v>
      </c>
      <c r="J13" s="1288">
        <v>21.4</v>
      </c>
      <c r="K13" s="1288">
        <v>0</v>
      </c>
      <c r="L13" s="1288">
        <f t="shared" si="2"/>
        <v>287627.09999999998</v>
      </c>
      <c r="M13" s="1288">
        <v>1487</v>
      </c>
      <c r="N13" s="1288">
        <v>0</v>
      </c>
      <c r="O13" s="1288">
        <v>0</v>
      </c>
      <c r="P13" s="1288">
        <v>0</v>
      </c>
      <c r="Q13" s="1288">
        <v>0</v>
      </c>
      <c r="R13" s="1288">
        <v>39371.300000000003</v>
      </c>
      <c r="S13" s="1288">
        <v>15752.8</v>
      </c>
    </row>
    <row r="14" spans="1:19" s="951" customFormat="1" ht="12.75" customHeight="1">
      <c r="A14" s="950" t="s">
        <v>609</v>
      </c>
      <c r="B14" s="1289">
        <v>330896.2</v>
      </c>
      <c r="C14" s="1289">
        <v>15693.6</v>
      </c>
      <c r="D14" s="1289">
        <v>33655.800000000003</v>
      </c>
      <c r="E14" s="1289">
        <v>32404.400000000001</v>
      </c>
      <c r="F14" s="1289">
        <f t="shared" si="1"/>
        <v>1251.4000000000015</v>
      </c>
      <c r="G14" s="1289">
        <v>5788.6</v>
      </c>
      <c r="H14" s="1289">
        <v>200463.5</v>
      </c>
      <c r="I14" s="1289">
        <v>95072.7</v>
      </c>
      <c r="J14" s="1289">
        <v>14.9</v>
      </c>
      <c r="K14" s="1289">
        <v>0</v>
      </c>
      <c r="L14" s="1289">
        <f t="shared" si="2"/>
        <v>295551.10000000003</v>
      </c>
      <c r="M14" s="1289">
        <v>769.7</v>
      </c>
      <c r="N14" s="1289">
        <v>0</v>
      </c>
      <c r="O14" s="1289">
        <v>0</v>
      </c>
      <c r="P14" s="1289">
        <v>0</v>
      </c>
      <c r="Q14" s="1289">
        <v>0</v>
      </c>
      <c r="R14" s="1289">
        <v>40161.599999999999</v>
      </c>
      <c r="S14" s="1289">
        <v>17147.400000000001</v>
      </c>
    </row>
    <row r="15" spans="1:19" s="951" customFormat="1" ht="12.75" customHeight="1">
      <c r="A15" s="949" t="s">
        <v>602</v>
      </c>
      <c r="B15" s="1288">
        <v>341180.7</v>
      </c>
      <c r="C15" s="1288">
        <v>18437.2</v>
      </c>
      <c r="D15" s="1288">
        <v>31637.1</v>
      </c>
      <c r="E15" s="1288">
        <v>39284.699999999997</v>
      </c>
      <c r="F15" s="1288">
        <f t="shared" si="1"/>
        <v>-7647.5999999999985</v>
      </c>
      <c r="G15" s="1288">
        <v>5877.2</v>
      </c>
      <c r="H15" s="1288">
        <v>201526</v>
      </c>
      <c r="I15" s="1288">
        <v>100941.8</v>
      </c>
      <c r="J15" s="1288">
        <v>42.4</v>
      </c>
      <c r="K15" s="1288">
        <v>0</v>
      </c>
      <c r="L15" s="1288">
        <f t="shared" si="2"/>
        <v>302510.2</v>
      </c>
      <c r="M15" s="1288">
        <v>1239</v>
      </c>
      <c r="N15" s="1288">
        <v>0</v>
      </c>
      <c r="O15" s="1288">
        <v>0</v>
      </c>
      <c r="P15" s="1288">
        <v>0</v>
      </c>
      <c r="Q15" s="1288">
        <v>0</v>
      </c>
      <c r="R15" s="1288">
        <v>41550.9</v>
      </c>
      <c r="S15" s="1288">
        <v>12547.4</v>
      </c>
    </row>
    <row r="16" spans="1:19" s="951" customFormat="1" ht="12.75" customHeight="1">
      <c r="A16" s="950" t="s">
        <v>610</v>
      </c>
      <c r="B16" s="1289">
        <v>343477.5</v>
      </c>
      <c r="C16" s="1289">
        <v>20816.099999999999</v>
      </c>
      <c r="D16" s="1289">
        <v>36939.1</v>
      </c>
      <c r="E16" s="1289">
        <v>45763.1</v>
      </c>
      <c r="F16" s="1289">
        <f t="shared" si="1"/>
        <v>-8824</v>
      </c>
      <c r="G16" s="1289">
        <v>5856.8</v>
      </c>
      <c r="H16" s="1289">
        <v>201812.7</v>
      </c>
      <c r="I16" s="1289">
        <v>97824.1</v>
      </c>
      <c r="J16" s="1289">
        <v>41.9</v>
      </c>
      <c r="K16" s="1289">
        <v>0</v>
      </c>
      <c r="L16" s="1289">
        <f t="shared" si="2"/>
        <v>299678.70000000007</v>
      </c>
      <c r="M16" s="1289">
        <v>1395.7</v>
      </c>
      <c r="N16" s="1289">
        <v>0</v>
      </c>
      <c r="O16" s="1289">
        <v>0</v>
      </c>
      <c r="P16" s="1289">
        <v>0</v>
      </c>
      <c r="Q16" s="1289">
        <v>0</v>
      </c>
      <c r="R16" s="1289">
        <v>41967.9</v>
      </c>
      <c r="S16" s="1289">
        <v>18284.099999999999</v>
      </c>
    </row>
    <row r="17" spans="1:19" s="951" customFormat="1" ht="12.75" customHeight="1">
      <c r="A17" s="949" t="s">
        <v>611</v>
      </c>
      <c r="B17" s="1288">
        <v>347149.8</v>
      </c>
      <c r="C17" s="1288">
        <v>21548</v>
      </c>
      <c r="D17" s="1288">
        <v>31175.5</v>
      </c>
      <c r="E17" s="1288">
        <v>51185.5</v>
      </c>
      <c r="F17" s="1288">
        <f t="shared" si="1"/>
        <v>-20010</v>
      </c>
      <c r="G17" s="1288">
        <v>5863.4</v>
      </c>
      <c r="H17" s="1288">
        <v>201832.9</v>
      </c>
      <c r="I17" s="1288">
        <v>97064.5</v>
      </c>
      <c r="J17" s="1288">
        <v>47.1</v>
      </c>
      <c r="K17" s="1288">
        <v>0</v>
      </c>
      <c r="L17" s="1288">
        <f t="shared" si="2"/>
        <v>298944.5</v>
      </c>
      <c r="M17" s="1288">
        <v>1047.3</v>
      </c>
      <c r="N17" s="1288">
        <v>0</v>
      </c>
      <c r="O17" s="1288">
        <v>0</v>
      </c>
      <c r="P17" s="1288">
        <v>0</v>
      </c>
      <c r="Q17" s="1288">
        <v>0</v>
      </c>
      <c r="R17" s="1288">
        <v>41762.400000000001</v>
      </c>
      <c r="S17" s="1288">
        <v>12797</v>
      </c>
    </row>
    <row r="18" spans="1:19" s="951" customFormat="1" ht="12.75" customHeight="1">
      <c r="A18" s="950" t="s">
        <v>603</v>
      </c>
      <c r="B18" s="1289">
        <v>346842.8</v>
      </c>
      <c r="C18" s="1289">
        <v>21945.7</v>
      </c>
      <c r="D18" s="1289">
        <v>29538.1</v>
      </c>
      <c r="E18" s="1289">
        <v>48283.7</v>
      </c>
      <c r="F18" s="1289">
        <f t="shared" si="1"/>
        <v>-18745.599999999999</v>
      </c>
      <c r="G18" s="1289">
        <v>5867.5</v>
      </c>
      <c r="H18" s="1289">
        <v>200324.2</v>
      </c>
      <c r="I18" s="1289">
        <v>101716.6</v>
      </c>
      <c r="J18" s="1289">
        <v>64.8</v>
      </c>
      <c r="K18" s="1289">
        <v>0</v>
      </c>
      <c r="L18" s="1289">
        <f t="shared" si="2"/>
        <v>302105.60000000003</v>
      </c>
      <c r="M18" s="1289">
        <v>1438.2</v>
      </c>
      <c r="N18" s="1289">
        <v>0</v>
      </c>
      <c r="O18" s="1289">
        <v>0</v>
      </c>
      <c r="P18" s="1289">
        <v>0</v>
      </c>
      <c r="Q18" s="1289">
        <v>0</v>
      </c>
      <c r="R18" s="1289">
        <v>40998.400000000001</v>
      </c>
      <c r="S18" s="1289">
        <v>11368.2</v>
      </c>
    </row>
    <row r="19" spans="1:19" s="951" customFormat="1" ht="12.75" customHeight="1">
      <c r="A19" s="949" t="s">
        <v>612</v>
      </c>
      <c r="B19" s="1288">
        <v>352525.9</v>
      </c>
      <c r="C19" s="1288">
        <v>22174.400000000001</v>
      </c>
      <c r="D19" s="1288">
        <v>29640.1</v>
      </c>
      <c r="E19" s="1288">
        <v>40914.6</v>
      </c>
      <c r="F19" s="1288">
        <f t="shared" si="1"/>
        <v>-11274.5</v>
      </c>
      <c r="G19" s="1288">
        <v>5879.9</v>
      </c>
      <c r="H19" s="1288">
        <v>208632.6</v>
      </c>
      <c r="I19" s="1288">
        <v>105840.7</v>
      </c>
      <c r="J19" s="1288">
        <v>29.6</v>
      </c>
      <c r="K19" s="1288">
        <v>0</v>
      </c>
      <c r="L19" s="1288">
        <f t="shared" si="2"/>
        <v>314502.89999999997</v>
      </c>
      <c r="M19" s="1288">
        <v>1404.1</v>
      </c>
      <c r="N19" s="1288">
        <v>0</v>
      </c>
      <c r="O19" s="1288">
        <v>0</v>
      </c>
      <c r="P19" s="1288">
        <v>0</v>
      </c>
      <c r="Q19" s="1288">
        <v>0</v>
      </c>
      <c r="R19" s="1288">
        <v>42367.4</v>
      </c>
      <c r="S19" s="1288">
        <v>11031.3</v>
      </c>
    </row>
    <row r="20" spans="1:19" s="951" customFormat="1" ht="12.75" customHeight="1">
      <c r="A20" s="950" t="s">
        <v>613</v>
      </c>
      <c r="B20" s="1289">
        <v>361530.8</v>
      </c>
      <c r="C20" s="1289">
        <v>22921.5</v>
      </c>
      <c r="D20" s="1289">
        <v>29707.9</v>
      </c>
      <c r="E20" s="1289">
        <v>39225.9</v>
      </c>
      <c r="F20" s="1289">
        <f t="shared" si="1"/>
        <v>-9518</v>
      </c>
      <c r="G20" s="1289">
        <v>5871.5</v>
      </c>
      <c r="H20" s="1289">
        <v>219292.79999999999</v>
      </c>
      <c r="I20" s="1289">
        <v>106984.2</v>
      </c>
      <c r="J20" s="1289">
        <v>13.5</v>
      </c>
      <c r="K20" s="1289">
        <v>0</v>
      </c>
      <c r="L20" s="1289">
        <f t="shared" si="2"/>
        <v>326290.5</v>
      </c>
      <c r="M20" s="1289">
        <v>1211.9000000000001</v>
      </c>
      <c r="N20" s="1289">
        <v>0</v>
      </c>
      <c r="O20" s="1289">
        <v>0</v>
      </c>
      <c r="P20" s="1289">
        <v>0</v>
      </c>
      <c r="Q20" s="1289">
        <v>0</v>
      </c>
      <c r="R20" s="1289">
        <v>42897.1</v>
      </c>
      <c r="S20" s="1289">
        <v>10406.299999999999</v>
      </c>
    </row>
    <row r="21" spans="1:19" s="951" customFormat="1" ht="12.75" customHeight="1">
      <c r="A21" s="949" t="s">
        <v>604</v>
      </c>
      <c r="B21" s="1288">
        <v>366917.3</v>
      </c>
      <c r="C21" s="1288">
        <v>22091.200000000001</v>
      </c>
      <c r="D21" s="1288">
        <v>33870.800000000003</v>
      </c>
      <c r="E21" s="1288">
        <v>25244.5</v>
      </c>
      <c r="F21" s="1288">
        <f t="shared" si="1"/>
        <v>8626.3000000000029</v>
      </c>
      <c r="G21" s="1288">
        <v>5935.6</v>
      </c>
      <c r="H21" s="1288">
        <v>225322.2</v>
      </c>
      <c r="I21" s="1288">
        <v>121126</v>
      </c>
      <c r="J21" s="1288">
        <v>57.5</v>
      </c>
      <c r="K21" s="1288">
        <v>0</v>
      </c>
      <c r="L21" s="1288">
        <f t="shared" si="2"/>
        <v>346505.7</v>
      </c>
      <c r="M21" s="1288">
        <v>1529.9</v>
      </c>
      <c r="N21" s="1288">
        <v>0</v>
      </c>
      <c r="O21" s="1288">
        <v>0</v>
      </c>
      <c r="P21" s="1288">
        <v>0</v>
      </c>
      <c r="Q21" s="1288">
        <v>0</v>
      </c>
      <c r="R21" s="1288">
        <v>43524.7</v>
      </c>
      <c r="S21" s="1288">
        <v>12010.1</v>
      </c>
    </row>
    <row r="22" spans="1:19" s="951" customFormat="1" ht="12.75" customHeight="1">
      <c r="A22" s="1507" t="s">
        <v>2166</v>
      </c>
      <c r="B22" s="1287">
        <f>B34</f>
        <v>347746.8</v>
      </c>
      <c r="C22" s="1287">
        <f t="shared" ref="C22:S22" si="3">C34</f>
        <v>19369.2</v>
      </c>
      <c r="D22" s="1287">
        <f t="shared" si="3"/>
        <v>58719.3</v>
      </c>
      <c r="E22" s="1287">
        <f t="shared" si="3"/>
        <v>13785.7</v>
      </c>
      <c r="F22" s="1287">
        <f t="shared" si="3"/>
        <v>44933.600000000006</v>
      </c>
      <c r="G22" s="1287">
        <f t="shared" si="3"/>
        <v>6093.7</v>
      </c>
      <c r="H22" s="1287">
        <f t="shared" si="3"/>
        <v>254519.5</v>
      </c>
      <c r="I22" s="1287">
        <f t="shared" si="3"/>
        <v>90931.1</v>
      </c>
      <c r="J22" s="1287">
        <f t="shared" si="3"/>
        <v>48.2</v>
      </c>
      <c r="K22" s="1287">
        <f t="shared" si="3"/>
        <v>0</v>
      </c>
      <c r="L22" s="1287">
        <f t="shared" si="3"/>
        <v>345498.8</v>
      </c>
      <c r="M22" s="1287">
        <f t="shared" si="3"/>
        <v>1321.7</v>
      </c>
      <c r="N22" s="1287">
        <f t="shared" si="3"/>
        <v>0</v>
      </c>
      <c r="O22" s="1287">
        <f t="shared" si="3"/>
        <v>0</v>
      </c>
      <c r="P22" s="1287">
        <f t="shared" si="3"/>
        <v>0</v>
      </c>
      <c r="Q22" s="1287">
        <f t="shared" si="3"/>
        <v>0</v>
      </c>
      <c r="R22" s="1287">
        <f t="shared" si="3"/>
        <v>62830.400000000001</v>
      </c>
      <c r="S22" s="1287">
        <f t="shared" si="3"/>
        <v>8492.4</v>
      </c>
    </row>
    <row r="23" spans="1:19" s="951" customFormat="1" ht="12.75" customHeight="1">
      <c r="A23" s="949" t="s">
        <v>606</v>
      </c>
      <c r="B23" s="1288">
        <v>369407.4</v>
      </c>
      <c r="C23" s="1288">
        <v>22153.5</v>
      </c>
      <c r="D23" s="1288">
        <v>30308.7</v>
      </c>
      <c r="E23" s="1288">
        <v>26352</v>
      </c>
      <c r="F23" s="1288">
        <f t="shared" si="1"/>
        <v>3956.7000000000007</v>
      </c>
      <c r="G23" s="1288">
        <v>5924.5</v>
      </c>
      <c r="H23" s="1288">
        <v>244502.5</v>
      </c>
      <c r="I23" s="1288">
        <v>103422.8</v>
      </c>
      <c r="J23" s="1288">
        <v>56.6</v>
      </c>
      <c r="K23" s="1288">
        <v>0</v>
      </c>
      <c r="L23" s="1288">
        <f t="shared" si="2"/>
        <v>347981.89999999997</v>
      </c>
      <c r="M23" s="1288">
        <v>912.2</v>
      </c>
      <c r="N23" s="1288">
        <v>0</v>
      </c>
      <c r="O23" s="1288">
        <v>0</v>
      </c>
      <c r="P23" s="1288">
        <v>0</v>
      </c>
      <c r="Q23" s="1288">
        <v>0</v>
      </c>
      <c r="R23" s="1288">
        <v>43678.400000000001</v>
      </c>
      <c r="S23" s="1288">
        <v>8869.6</v>
      </c>
    </row>
    <row r="24" spans="1:19" s="951" customFormat="1" ht="12.75" customHeight="1">
      <c r="A24" s="950" t="s">
        <v>607</v>
      </c>
      <c r="B24" s="1289">
        <v>370194</v>
      </c>
      <c r="C24" s="1289">
        <v>22049.5</v>
      </c>
      <c r="D24" s="1289">
        <v>29387.5</v>
      </c>
      <c r="E24" s="1289">
        <v>35565.9</v>
      </c>
      <c r="F24" s="1289">
        <f t="shared" si="1"/>
        <v>-6178.4000000000015</v>
      </c>
      <c r="G24" s="1289">
        <v>5901.7</v>
      </c>
      <c r="H24" s="1289">
        <v>232100.9</v>
      </c>
      <c r="I24" s="1289">
        <v>92156.4</v>
      </c>
      <c r="J24" s="1289">
        <v>29</v>
      </c>
      <c r="K24" s="1289">
        <v>0</v>
      </c>
      <c r="L24" s="1289">
        <f t="shared" si="2"/>
        <v>324286.3</v>
      </c>
      <c r="M24" s="1289">
        <v>1276.4000000000001</v>
      </c>
      <c r="N24" s="1289">
        <v>0</v>
      </c>
      <c r="O24" s="1289">
        <v>0</v>
      </c>
      <c r="P24" s="1289">
        <v>0</v>
      </c>
      <c r="Q24" s="1289">
        <v>0</v>
      </c>
      <c r="R24" s="1289">
        <v>45470.5</v>
      </c>
      <c r="S24" s="1289">
        <v>20933.599999999999</v>
      </c>
    </row>
    <row r="25" spans="1:19" s="951" customFormat="1" ht="12.75" customHeight="1">
      <c r="A25" s="949" t="s">
        <v>601</v>
      </c>
      <c r="B25" s="1288">
        <v>361731.1</v>
      </c>
      <c r="C25" s="1288">
        <v>21647.1</v>
      </c>
      <c r="D25" s="1288">
        <v>32563</v>
      </c>
      <c r="E25" s="1288">
        <v>35409.300000000003</v>
      </c>
      <c r="F25" s="1288">
        <f t="shared" si="1"/>
        <v>-2846.3000000000029</v>
      </c>
      <c r="G25" s="1288">
        <v>5877.3</v>
      </c>
      <c r="H25" s="1288">
        <v>226089.4</v>
      </c>
      <c r="I25" s="1288">
        <v>95654.399999999994</v>
      </c>
      <c r="J25" s="1288">
        <v>8.1999999999999993</v>
      </c>
      <c r="K25" s="1288">
        <v>0</v>
      </c>
      <c r="L25" s="1288">
        <f t="shared" si="2"/>
        <v>321752</v>
      </c>
      <c r="M25" s="1288">
        <v>1283.3</v>
      </c>
      <c r="N25" s="1288">
        <v>0</v>
      </c>
      <c r="O25" s="1288">
        <v>0</v>
      </c>
      <c r="P25" s="1288">
        <v>0</v>
      </c>
      <c r="Q25" s="1288">
        <v>0</v>
      </c>
      <c r="R25" s="1288">
        <v>45638.400000000001</v>
      </c>
      <c r="S25" s="1288">
        <v>17735.5</v>
      </c>
    </row>
    <row r="26" spans="1:19" s="951" customFormat="1" ht="12.75" customHeight="1">
      <c r="A26" s="950" t="s">
        <v>608</v>
      </c>
      <c r="B26" s="1289">
        <v>358587</v>
      </c>
      <c r="C26" s="1289">
        <v>20697.099999999999</v>
      </c>
      <c r="D26" s="1289">
        <v>32655.5</v>
      </c>
      <c r="E26" s="1289">
        <v>34229</v>
      </c>
      <c r="F26" s="1289">
        <f t="shared" si="1"/>
        <v>-1573.5</v>
      </c>
      <c r="G26" s="1289">
        <v>5877.8</v>
      </c>
      <c r="H26" s="1289">
        <v>224139.1</v>
      </c>
      <c r="I26" s="1289">
        <v>94219.5</v>
      </c>
      <c r="J26" s="1289">
        <v>11</v>
      </c>
      <c r="K26" s="1289">
        <v>0</v>
      </c>
      <c r="L26" s="1289">
        <f t="shared" si="2"/>
        <v>318369.59999999998</v>
      </c>
      <c r="M26" s="1289">
        <v>1211.9000000000001</v>
      </c>
      <c r="N26" s="1289">
        <v>0</v>
      </c>
      <c r="O26" s="1289">
        <v>0</v>
      </c>
      <c r="P26" s="1289">
        <v>0</v>
      </c>
      <c r="Q26" s="1289">
        <v>0</v>
      </c>
      <c r="R26" s="1289">
        <v>47011.4</v>
      </c>
      <c r="S26" s="1289">
        <v>16995.5</v>
      </c>
    </row>
    <row r="27" spans="1:19" s="951" customFormat="1" ht="12.75" customHeight="1">
      <c r="A27" s="949" t="s">
        <v>609</v>
      </c>
      <c r="B27" s="1288">
        <v>352220</v>
      </c>
      <c r="C27" s="1288">
        <v>20523</v>
      </c>
      <c r="D27" s="1288">
        <v>32464.5</v>
      </c>
      <c r="E27" s="1288">
        <v>24929.8</v>
      </c>
      <c r="F27" s="1288">
        <f t="shared" si="1"/>
        <v>7534.7000000000007</v>
      </c>
      <c r="G27" s="1288">
        <v>5862.5</v>
      </c>
      <c r="H27" s="1288">
        <v>225421.6</v>
      </c>
      <c r="I27" s="1288">
        <v>105450.5</v>
      </c>
      <c r="J27" s="1288">
        <v>21.2</v>
      </c>
      <c r="K27" s="1288">
        <v>0</v>
      </c>
      <c r="L27" s="1288">
        <f t="shared" si="2"/>
        <v>330893.3</v>
      </c>
      <c r="M27" s="1288">
        <v>1361.8</v>
      </c>
      <c r="N27" s="1288">
        <v>0</v>
      </c>
      <c r="O27" s="1288">
        <v>0</v>
      </c>
      <c r="P27" s="1288">
        <v>0</v>
      </c>
      <c r="Q27" s="1288">
        <v>0</v>
      </c>
      <c r="R27" s="1288">
        <v>46727.3</v>
      </c>
      <c r="S27" s="1288">
        <v>7157.8</v>
      </c>
    </row>
    <row r="28" spans="1:19" s="951" customFormat="1" ht="12.75" customHeight="1">
      <c r="A28" s="950" t="s">
        <v>602</v>
      </c>
      <c r="B28" s="1289">
        <v>354607.3</v>
      </c>
      <c r="C28" s="1289">
        <v>19514</v>
      </c>
      <c r="D28" s="1289">
        <v>32245.1</v>
      </c>
      <c r="E28" s="1289">
        <v>36917.699999999997</v>
      </c>
      <c r="F28" s="1289">
        <f t="shared" si="1"/>
        <v>-4672.5999999999985</v>
      </c>
      <c r="G28" s="1289">
        <v>5944</v>
      </c>
      <c r="H28" s="1289">
        <v>227883.1</v>
      </c>
      <c r="I28" s="1289">
        <v>94124.4</v>
      </c>
      <c r="J28" s="1289">
        <v>53.7</v>
      </c>
      <c r="K28" s="1289">
        <v>0</v>
      </c>
      <c r="L28" s="1289">
        <f t="shared" si="2"/>
        <v>322061.2</v>
      </c>
      <c r="M28" s="1289">
        <v>1170.9000000000001</v>
      </c>
      <c r="N28" s="1289">
        <v>0</v>
      </c>
      <c r="O28" s="1289">
        <v>0</v>
      </c>
      <c r="P28" s="1289">
        <v>0</v>
      </c>
      <c r="Q28" s="1289">
        <v>0</v>
      </c>
      <c r="R28" s="1289">
        <v>47147.3</v>
      </c>
      <c r="S28" s="1289">
        <v>5013.3</v>
      </c>
    </row>
    <row r="29" spans="1:19" s="951" customFormat="1" ht="12.75" customHeight="1">
      <c r="A29" s="949" t="s">
        <v>610</v>
      </c>
      <c r="B29" s="1288">
        <v>351964.2</v>
      </c>
      <c r="C29" s="1288">
        <v>19282</v>
      </c>
      <c r="D29" s="1288">
        <v>32210.9</v>
      </c>
      <c r="E29" s="1288">
        <v>33232.800000000003</v>
      </c>
      <c r="F29" s="1288">
        <f t="shared" si="1"/>
        <v>-1021.9000000000015</v>
      </c>
      <c r="G29" s="1288">
        <v>5932.2</v>
      </c>
      <c r="H29" s="1288">
        <v>229783.9</v>
      </c>
      <c r="I29" s="1288">
        <v>91827.1</v>
      </c>
      <c r="J29" s="1288">
        <v>73.8</v>
      </c>
      <c r="K29" s="1288">
        <v>0</v>
      </c>
      <c r="L29" s="1288">
        <f t="shared" si="2"/>
        <v>321684.8</v>
      </c>
      <c r="M29" s="1288">
        <v>1552.8</v>
      </c>
      <c r="N29" s="1288">
        <v>0</v>
      </c>
      <c r="O29" s="1288">
        <v>0</v>
      </c>
      <c r="P29" s="1288">
        <v>0</v>
      </c>
      <c r="Q29" s="1288">
        <v>0</v>
      </c>
      <c r="R29" s="1288">
        <v>46965.599999999999</v>
      </c>
      <c r="S29" s="1288">
        <v>5953.3</v>
      </c>
    </row>
    <row r="30" spans="1:19" s="951" customFormat="1" ht="12.75" customHeight="1">
      <c r="A30" s="950" t="s">
        <v>611</v>
      </c>
      <c r="B30" s="1289">
        <v>351813.7</v>
      </c>
      <c r="C30" s="1289">
        <v>18911.2</v>
      </c>
      <c r="D30" s="1289">
        <v>32318.3</v>
      </c>
      <c r="E30" s="1289">
        <v>34254.800000000003</v>
      </c>
      <c r="F30" s="1289">
        <f t="shared" si="1"/>
        <v>-1936.5000000000036</v>
      </c>
      <c r="G30" s="1289">
        <v>5940.9</v>
      </c>
      <c r="H30" s="1289">
        <v>231253.1</v>
      </c>
      <c r="I30" s="1289">
        <v>89403.3</v>
      </c>
      <c r="J30" s="1289">
        <v>7.2</v>
      </c>
      <c r="K30" s="1289">
        <v>0</v>
      </c>
      <c r="L30" s="1289">
        <f t="shared" si="2"/>
        <v>320663.60000000003</v>
      </c>
      <c r="M30" s="1289">
        <v>1414.8</v>
      </c>
      <c r="N30" s="1289">
        <v>0</v>
      </c>
      <c r="O30" s="1289">
        <v>0</v>
      </c>
      <c r="P30" s="1289">
        <v>0</v>
      </c>
      <c r="Q30" s="1289">
        <v>0</v>
      </c>
      <c r="R30" s="1289">
        <v>47406.6</v>
      </c>
      <c r="S30" s="1289">
        <v>5244.3</v>
      </c>
    </row>
    <row r="31" spans="1:19" s="951" customFormat="1" ht="12.75" customHeight="1">
      <c r="A31" s="949" t="s">
        <v>603</v>
      </c>
      <c r="B31" s="1288">
        <v>344757</v>
      </c>
      <c r="C31" s="1288">
        <v>19482.3</v>
      </c>
      <c r="D31" s="1288">
        <v>32001.1</v>
      </c>
      <c r="E31" s="1288">
        <v>28912.799999999999</v>
      </c>
      <c r="F31" s="1288">
        <f t="shared" si="1"/>
        <v>3088.2999999999993</v>
      </c>
      <c r="G31" s="1288">
        <v>5946.5</v>
      </c>
      <c r="H31" s="1288">
        <v>230291.6</v>
      </c>
      <c r="I31" s="1288">
        <v>89215</v>
      </c>
      <c r="J31" s="1288">
        <v>17.399999999999999</v>
      </c>
      <c r="K31" s="1288">
        <v>0</v>
      </c>
      <c r="L31" s="1288">
        <f t="shared" si="2"/>
        <v>319524</v>
      </c>
      <c r="M31" s="1288">
        <v>987.5</v>
      </c>
      <c r="N31" s="1288">
        <v>0</v>
      </c>
      <c r="O31" s="1288">
        <v>0</v>
      </c>
      <c r="P31" s="1288">
        <v>0</v>
      </c>
      <c r="Q31" s="1288">
        <v>0</v>
      </c>
      <c r="R31" s="1288">
        <v>47080.1</v>
      </c>
      <c r="S31" s="1288">
        <v>5682.5</v>
      </c>
    </row>
    <row r="32" spans="1:19" s="951" customFormat="1" ht="12.75" customHeight="1">
      <c r="A32" s="950" t="s">
        <v>612</v>
      </c>
      <c r="B32" s="1289">
        <v>337432.5</v>
      </c>
      <c r="C32" s="1289">
        <v>24310.7</v>
      </c>
      <c r="D32" s="1289">
        <v>38110.800000000003</v>
      </c>
      <c r="E32" s="1289">
        <v>15883</v>
      </c>
      <c r="F32" s="1289">
        <f t="shared" si="1"/>
        <v>22227.800000000003</v>
      </c>
      <c r="G32" s="1289">
        <v>5981.8</v>
      </c>
      <c r="H32" s="1289">
        <v>254121.9</v>
      </c>
      <c r="I32" s="1289">
        <v>84014.399999999994</v>
      </c>
      <c r="J32" s="1289">
        <v>9.6</v>
      </c>
      <c r="K32" s="1289">
        <v>0</v>
      </c>
      <c r="L32" s="1289">
        <f t="shared" si="2"/>
        <v>338145.89999999997</v>
      </c>
      <c r="M32" s="1289">
        <v>1125.0999999999999</v>
      </c>
      <c r="N32" s="1289">
        <v>0</v>
      </c>
      <c r="O32" s="1289">
        <v>0</v>
      </c>
      <c r="P32" s="1289">
        <v>0</v>
      </c>
      <c r="Q32" s="1289">
        <v>0</v>
      </c>
      <c r="R32" s="1289">
        <v>44841.8</v>
      </c>
      <c r="S32" s="1289">
        <v>5840</v>
      </c>
    </row>
    <row r="33" spans="1:21" s="951" customFormat="1" ht="12.75" customHeight="1">
      <c r="A33" s="949" t="s">
        <v>613</v>
      </c>
      <c r="B33" s="1288">
        <v>343399.6</v>
      </c>
      <c r="C33" s="1288">
        <v>25846.799999999999</v>
      </c>
      <c r="D33" s="1288">
        <v>46116</v>
      </c>
      <c r="E33" s="1288">
        <v>28513.9</v>
      </c>
      <c r="F33" s="1288">
        <f t="shared" si="1"/>
        <v>17602.099999999999</v>
      </c>
      <c r="G33" s="1288">
        <v>6002.7</v>
      </c>
      <c r="H33" s="1288">
        <v>243684</v>
      </c>
      <c r="I33" s="1288">
        <v>85473.5</v>
      </c>
      <c r="J33" s="1288">
        <v>20.5</v>
      </c>
      <c r="K33" s="1288">
        <v>0</v>
      </c>
      <c r="L33" s="1288">
        <f t="shared" si="2"/>
        <v>329178</v>
      </c>
      <c r="M33" s="1288">
        <v>1722.6</v>
      </c>
      <c r="N33" s="1288">
        <v>0</v>
      </c>
      <c r="O33" s="1288">
        <v>0</v>
      </c>
      <c r="P33" s="1288">
        <v>0</v>
      </c>
      <c r="Q33" s="1288">
        <v>0</v>
      </c>
      <c r="R33" s="1288">
        <v>56082.2</v>
      </c>
      <c r="S33" s="1288">
        <v>5868.4</v>
      </c>
    </row>
    <row r="34" spans="1:21" s="951" customFormat="1" ht="12.75" customHeight="1">
      <c r="A34" s="950" t="s">
        <v>604</v>
      </c>
      <c r="B34" s="1289">
        <v>347746.8</v>
      </c>
      <c r="C34" s="1289">
        <v>19369.2</v>
      </c>
      <c r="D34" s="1289">
        <v>58719.3</v>
      </c>
      <c r="E34" s="1289">
        <v>13785.7</v>
      </c>
      <c r="F34" s="1289">
        <f>D34-E34</f>
        <v>44933.600000000006</v>
      </c>
      <c r="G34" s="1289">
        <v>6093.7</v>
      </c>
      <c r="H34" s="1289">
        <v>254519.5</v>
      </c>
      <c r="I34" s="1289">
        <v>90931.1</v>
      </c>
      <c r="J34" s="1289">
        <v>48.2</v>
      </c>
      <c r="K34" s="1289">
        <v>0</v>
      </c>
      <c r="L34" s="1289">
        <f t="shared" si="2"/>
        <v>345498.8</v>
      </c>
      <c r="M34" s="1289">
        <v>1321.7</v>
      </c>
      <c r="N34" s="1289">
        <v>0</v>
      </c>
      <c r="O34" s="1289">
        <v>0</v>
      </c>
      <c r="P34" s="1289">
        <v>0</v>
      </c>
      <c r="Q34" s="1289">
        <v>0</v>
      </c>
      <c r="R34" s="1289">
        <v>62830.400000000001</v>
      </c>
      <c r="S34" s="1289">
        <v>8492.4</v>
      </c>
    </row>
    <row r="35" spans="1:21" s="951" customFormat="1" ht="12.75" customHeight="1">
      <c r="A35" s="1506" t="s">
        <v>2552</v>
      </c>
      <c r="B35" s="1288"/>
      <c r="C35" s="1288"/>
      <c r="D35" s="1288"/>
      <c r="E35" s="1288"/>
      <c r="F35" s="1288"/>
      <c r="G35" s="1288"/>
      <c r="H35" s="1288"/>
      <c r="I35" s="1288"/>
      <c r="J35" s="1288"/>
      <c r="K35" s="1288"/>
      <c r="L35" s="1288"/>
      <c r="M35" s="1288"/>
      <c r="N35" s="1288"/>
      <c r="O35" s="1288"/>
      <c r="P35" s="1288"/>
      <c r="Q35" s="1288"/>
      <c r="R35" s="1288"/>
      <c r="S35" s="1288"/>
    </row>
    <row r="36" spans="1:21" s="951" customFormat="1" ht="12.75" customHeight="1">
      <c r="A36" s="950" t="s">
        <v>606</v>
      </c>
      <c r="B36" s="1289">
        <v>341807.6</v>
      </c>
      <c r="C36" s="1289">
        <v>29619.200000000001</v>
      </c>
      <c r="D36" s="1289">
        <v>67405.899999999994</v>
      </c>
      <c r="E36" s="1289">
        <v>23212.3</v>
      </c>
      <c r="F36" s="1289">
        <f>D36-E36</f>
        <v>44193.599999999991</v>
      </c>
      <c r="G36" s="1289">
        <v>6067.6</v>
      </c>
      <c r="H36" s="1289">
        <v>262931.09999999998</v>
      </c>
      <c r="I36" s="1289">
        <v>80205.899999999994</v>
      </c>
      <c r="J36" s="1289">
        <v>121.6</v>
      </c>
      <c r="K36" s="1289">
        <v>0</v>
      </c>
      <c r="L36" s="1289">
        <f t="shared" si="2"/>
        <v>343258.6</v>
      </c>
      <c r="M36" s="1289">
        <v>1946.2</v>
      </c>
      <c r="N36" s="1289">
        <v>0</v>
      </c>
      <c r="O36" s="1289">
        <v>0</v>
      </c>
      <c r="P36" s="1289">
        <v>0</v>
      </c>
      <c r="Q36" s="1289">
        <v>0</v>
      </c>
      <c r="R36" s="1289">
        <v>67892.5</v>
      </c>
      <c r="S36" s="1289">
        <v>8590.7000000000007</v>
      </c>
    </row>
    <row r="37" spans="1:21" s="951" customFormat="1" ht="12.75" customHeight="1">
      <c r="A37" s="949" t="s">
        <v>607</v>
      </c>
      <c r="B37" s="1288">
        <v>323766.59999999998</v>
      </c>
      <c r="C37" s="1288">
        <v>33219</v>
      </c>
      <c r="D37" s="1288">
        <v>69696.600000000006</v>
      </c>
      <c r="E37" s="1288">
        <v>16551.900000000001</v>
      </c>
      <c r="F37" s="1288">
        <f>D37-E37</f>
        <v>53144.700000000004</v>
      </c>
      <c r="G37" s="1288">
        <v>6082.3</v>
      </c>
      <c r="H37" s="1288">
        <v>261231</v>
      </c>
      <c r="I37" s="1288">
        <v>78318.7</v>
      </c>
      <c r="J37" s="1288">
        <v>104.8</v>
      </c>
      <c r="K37" s="1288">
        <v>0</v>
      </c>
      <c r="L37" s="1288">
        <f t="shared" si="2"/>
        <v>339654.5</v>
      </c>
      <c r="M37" s="1288">
        <v>1597.2</v>
      </c>
      <c r="N37" s="1288">
        <v>0</v>
      </c>
      <c r="O37" s="1288">
        <v>0</v>
      </c>
      <c r="P37" s="1288">
        <v>0</v>
      </c>
      <c r="Q37" s="1288">
        <v>0</v>
      </c>
      <c r="R37" s="1288">
        <v>67820.600000000006</v>
      </c>
      <c r="S37" s="1288">
        <v>7140.3</v>
      </c>
    </row>
    <row r="38" spans="1:21" s="951" customFormat="1" ht="12.75" customHeight="1">
      <c r="A38" s="950" t="s">
        <v>601</v>
      </c>
      <c r="B38" s="1289">
        <v>319038.2</v>
      </c>
      <c r="C38" s="1289">
        <v>30920.1</v>
      </c>
      <c r="D38" s="1289">
        <v>75773.600000000006</v>
      </c>
      <c r="E38" s="1289">
        <v>12718.9</v>
      </c>
      <c r="F38" s="1289">
        <f>D38-E38</f>
        <v>63054.700000000004</v>
      </c>
      <c r="G38" s="1289">
        <v>6098.4</v>
      </c>
      <c r="H38" s="1289">
        <v>259946.1</v>
      </c>
      <c r="I38" s="1289">
        <v>78316.100000000006</v>
      </c>
      <c r="J38" s="1289">
        <v>127.6</v>
      </c>
      <c r="K38" s="1289">
        <v>0</v>
      </c>
      <c r="L38" s="1289">
        <f t="shared" si="2"/>
        <v>338389.8</v>
      </c>
      <c r="M38" s="1289">
        <v>1770.2</v>
      </c>
      <c r="N38" s="1289">
        <v>0</v>
      </c>
      <c r="O38" s="1289">
        <v>0</v>
      </c>
      <c r="P38" s="1289">
        <v>0</v>
      </c>
      <c r="Q38" s="1289">
        <v>0</v>
      </c>
      <c r="R38" s="1289">
        <v>68004.800000000003</v>
      </c>
      <c r="S38" s="1289">
        <v>10946.6</v>
      </c>
    </row>
    <row r="39" spans="1:21" s="951" customFormat="1" ht="12.75" customHeight="1" thickBot="1">
      <c r="A39" s="1698" t="s">
        <v>608</v>
      </c>
      <c r="B39" s="1699">
        <v>309741.7</v>
      </c>
      <c r="C39" s="1699">
        <v>27583.599999999999</v>
      </c>
      <c r="D39" s="1699">
        <v>86383</v>
      </c>
      <c r="E39" s="1699">
        <v>11896.1</v>
      </c>
      <c r="F39" s="1699">
        <f>D39-E39</f>
        <v>74486.899999999994</v>
      </c>
      <c r="G39" s="1699">
        <v>6128.4</v>
      </c>
      <c r="H39" s="1699">
        <v>256374.7</v>
      </c>
      <c r="I39" s="1699">
        <v>77266.899999999994</v>
      </c>
      <c r="J39" s="1699">
        <v>136.5</v>
      </c>
      <c r="K39" s="1699">
        <v>0</v>
      </c>
      <c r="L39" s="1699">
        <f t="shared" si="2"/>
        <v>333778.09999999998</v>
      </c>
      <c r="M39" s="1699">
        <v>1872.7</v>
      </c>
      <c r="N39" s="1699">
        <v>0</v>
      </c>
      <c r="O39" s="1699">
        <v>0</v>
      </c>
      <c r="P39" s="1699">
        <v>0</v>
      </c>
      <c r="Q39" s="1699">
        <v>0</v>
      </c>
      <c r="R39" s="1699">
        <v>72132.5</v>
      </c>
      <c r="S39" s="1699">
        <v>10157.299999999999</v>
      </c>
    </row>
    <row r="40" spans="1:21" s="951" customFormat="1" ht="13.5" customHeight="1">
      <c r="A40" s="772" t="s">
        <v>16</v>
      </c>
      <c r="B40" s="773" t="s">
        <v>1366</v>
      </c>
      <c r="C40" s="773"/>
      <c r="D40" s="769"/>
      <c r="E40" s="769"/>
      <c r="F40" s="769"/>
      <c r="G40" s="778" t="s">
        <v>1469</v>
      </c>
      <c r="H40" s="937"/>
      <c r="I40" s="489"/>
      <c r="J40" s="937"/>
      <c r="K40" s="937"/>
      <c r="L40" s="937"/>
      <c r="M40" s="937"/>
      <c r="N40" s="937"/>
      <c r="O40" s="937"/>
      <c r="P40" s="937"/>
      <c r="Q40" s="937"/>
      <c r="R40" s="937"/>
      <c r="S40" s="937"/>
    </row>
    <row r="41" spans="1:21">
      <c r="B41" s="1632"/>
      <c r="C41" s="1372"/>
      <c r="D41" s="1372"/>
      <c r="E41" s="1632"/>
      <c r="F41" s="1435"/>
      <c r="G41" s="1435"/>
      <c r="H41" s="1435"/>
      <c r="I41" s="1435"/>
      <c r="J41" s="1435"/>
      <c r="K41" s="1293"/>
      <c r="M41" s="778"/>
      <c r="N41" s="778"/>
      <c r="O41" s="778"/>
      <c r="P41" s="778"/>
      <c r="Q41" s="778"/>
      <c r="R41" s="1372"/>
      <c r="S41" s="778"/>
      <c r="U41" s="1293"/>
    </row>
    <row r="42" spans="1:21">
      <c r="B42" s="1498"/>
      <c r="C42" s="1435"/>
      <c r="D42" s="1372"/>
      <c r="E42" s="1435"/>
      <c r="F42" s="1435"/>
      <c r="G42" s="1435"/>
      <c r="H42" s="1435"/>
      <c r="I42" s="1435"/>
      <c r="J42" s="1435"/>
      <c r="K42" s="1435"/>
      <c r="L42" s="1498"/>
      <c r="M42" s="1498"/>
      <c r="N42" s="1498"/>
      <c r="O42" s="1498"/>
      <c r="P42" s="1498"/>
      <c r="Q42" s="1498"/>
      <c r="R42" s="1435"/>
      <c r="S42" s="1498"/>
      <c r="U42" s="1293"/>
    </row>
    <row r="43" spans="1:21">
      <c r="A43" s="1293"/>
      <c r="B43" s="1435"/>
      <c r="C43" s="1435"/>
      <c r="D43" s="1372"/>
      <c r="E43" s="1435"/>
      <c r="F43" s="1435"/>
      <c r="G43" s="1435"/>
      <c r="H43" s="1435"/>
      <c r="I43" s="1435"/>
      <c r="J43" s="1435"/>
      <c r="K43" s="1435"/>
      <c r="L43" s="1498"/>
      <c r="M43" s="1498"/>
      <c r="N43" s="1498"/>
      <c r="O43" s="1498"/>
      <c r="P43" s="1498"/>
      <c r="Q43" s="1435"/>
      <c r="R43" s="1435"/>
      <c r="S43" s="1498"/>
      <c r="U43" s="1293"/>
    </row>
    <row r="44" spans="1:21" ht="14.25" customHeight="1">
      <c r="B44" s="1222"/>
      <c r="D44" s="1372"/>
      <c r="E44" s="1435"/>
      <c r="F44" s="1435"/>
      <c r="G44" s="1435"/>
      <c r="H44" s="1435"/>
      <c r="I44" s="1435"/>
      <c r="J44" s="1435"/>
      <c r="K44" s="1293"/>
      <c r="M44" s="778"/>
      <c r="N44" s="778"/>
      <c r="O44" s="778"/>
      <c r="P44" s="778"/>
      <c r="R44" s="1435"/>
      <c r="U44" s="1293"/>
    </row>
    <row r="45" spans="1:21">
      <c r="B45" s="1396"/>
      <c r="C45" s="1396"/>
      <c r="D45" s="1435"/>
      <c r="E45" s="1293"/>
      <c r="F45" s="1435"/>
      <c r="G45" s="1435"/>
      <c r="H45" s="1435"/>
      <c r="I45" s="1435"/>
      <c r="J45" s="1435"/>
      <c r="K45" s="1293"/>
      <c r="M45" s="778"/>
      <c r="N45" s="778"/>
      <c r="O45" s="778"/>
      <c r="P45" s="778"/>
      <c r="Q45" s="1396"/>
      <c r="R45" s="1396"/>
      <c r="S45" s="1396"/>
    </row>
    <row r="46" spans="1:21">
      <c r="B46" s="1396"/>
      <c r="C46" s="1396"/>
      <c r="D46" s="1435"/>
      <c r="E46" s="1293"/>
      <c r="F46" s="1435"/>
      <c r="G46" s="1435"/>
      <c r="H46" s="1435"/>
      <c r="I46" s="1435"/>
      <c r="J46" s="1435"/>
      <c r="K46" s="1293"/>
      <c r="M46" s="778"/>
      <c r="N46" s="778"/>
      <c r="O46" s="778"/>
      <c r="P46" s="778"/>
      <c r="Q46" s="1396"/>
      <c r="R46" s="1396"/>
      <c r="S46" s="1396"/>
    </row>
    <row r="47" spans="1:21">
      <c r="D47" s="1435"/>
      <c r="E47" s="1293"/>
      <c r="F47" s="1435"/>
      <c r="G47" s="1435"/>
      <c r="H47" s="1435"/>
      <c r="I47" s="1435"/>
      <c r="J47" s="1435"/>
      <c r="K47" s="1293"/>
      <c r="M47" s="778"/>
      <c r="N47" s="778"/>
      <c r="O47" s="778"/>
      <c r="P47" s="778"/>
    </row>
    <row r="48" spans="1:21">
      <c r="B48" s="1293"/>
      <c r="C48" s="1293"/>
      <c r="D48" s="1435"/>
      <c r="E48" s="1293"/>
      <c r="F48" s="1435"/>
      <c r="G48" s="1435"/>
      <c r="H48" s="1435"/>
      <c r="I48" s="1435"/>
      <c r="J48" s="1435"/>
      <c r="K48" s="1293"/>
      <c r="M48" s="778"/>
      <c r="N48" s="778"/>
      <c r="O48" s="778"/>
      <c r="P48" s="778"/>
    </row>
    <row r="49" spans="2:16">
      <c r="B49" s="1293"/>
      <c r="C49" s="1293"/>
      <c r="D49" s="1435"/>
      <c r="E49" s="1293"/>
      <c r="F49" s="1435"/>
      <c r="G49" s="1435"/>
      <c r="H49" s="1435"/>
      <c r="I49" s="1435"/>
      <c r="J49" s="1435"/>
      <c r="K49" s="1293"/>
      <c r="M49" s="778"/>
      <c r="N49" s="778"/>
      <c r="O49" s="778"/>
      <c r="P49" s="778"/>
    </row>
    <row r="50" spans="2:16">
      <c r="D50" s="1435"/>
      <c r="E50" s="1293"/>
      <c r="F50" s="1435"/>
      <c r="G50" s="1435"/>
      <c r="H50" s="1435"/>
      <c r="I50" s="1435"/>
      <c r="J50" s="1435"/>
      <c r="K50" s="1293"/>
      <c r="M50" s="778"/>
      <c r="N50" s="778"/>
      <c r="O50" s="778"/>
      <c r="P50" s="778"/>
    </row>
    <row r="51" spans="2:16">
      <c r="D51" s="1435"/>
      <c r="E51" s="1293"/>
      <c r="F51" s="1435"/>
      <c r="G51" s="1435"/>
      <c r="H51" s="1435"/>
      <c r="I51" s="1435"/>
      <c r="J51" s="1435"/>
      <c r="K51" s="1293"/>
      <c r="M51" s="778"/>
      <c r="N51" s="778"/>
      <c r="O51" s="778"/>
      <c r="P51" s="778"/>
    </row>
    <row r="52" spans="2:16">
      <c r="D52" s="1435"/>
      <c r="E52" s="1293"/>
      <c r="F52" s="1435"/>
      <c r="G52" s="1435"/>
      <c r="H52" s="1435"/>
      <c r="I52" s="1435"/>
      <c r="J52" s="1435"/>
      <c r="K52" s="1293"/>
      <c r="M52" s="778"/>
      <c r="N52" s="778"/>
      <c r="O52" s="778"/>
      <c r="P52" s="778"/>
    </row>
    <row r="53" spans="2:16">
      <c r="D53" s="1435"/>
      <c r="E53" s="1293"/>
      <c r="F53" s="1435"/>
      <c r="G53" s="1435"/>
      <c r="H53" s="1435"/>
      <c r="I53" s="1435"/>
      <c r="J53" s="1435"/>
      <c r="K53" s="1293"/>
      <c r="M53" s="778"/>
      <c r="N53" s="778"/>
      <c r="O53" s="778"/>
      <c r="P53" s="778"/>
    </row>
    <row r="54" spans="2:16">
      <c r="D54" s="1435"/>
      <c r="E54" s="1293"/>
      <c r="F54" s="1435"/>
      <c r="G54" s="1435"/>
      <c r="H54" s="1435"/>
      <c r="I54" s="1435"/>
      <c r="J54" s="1435"/>
      <c r="K54" s="1293"/>
      <c r="M54" s="778"/>
      <c r="N54" s="778"/>
      <c r="O54" s="778"/>
      <c r="P54" s="778"/>
    </row>
    <row r="55" spans="2:16">
      <c r="D55" s="1435"/>
      <c r="E55" s="1293"/>
      <c r="F55" s="1435"/>
      <c r="G55" s="1435"/>
      <c r="H55" s="1435"/>
      <c r="I55" s="1435"/>
      <c r="J55" s="1435"/>
      <c r="K55" s="1293"/>
      <c r="M55" s="778"/>
      <c r="N55" s="778"/>
      <c r="O55" s="778"/>
      <c r="P55" s="778"/>
    </row>
    <row r="56" spans="2:16">
      <c r="D56" s="1435"/>
      <c r="E56" s="1293"/>
      <c r="F56" s="1435"/>
      <c r="G56" s="1435"/>
      <c r="H56" s="1435"/>
      <c r="I56" s="1435"/>
      <c r="J56" s="1435"/>
      <c r="K56" s="1293"/>
      <c r="M56" s="778"/>
      <c r="N56" s="778"/>
      <c r="O56" s="778"/>
      <c r="P56" s="778"/>
    </row>
    <row r="57" spans="2:16">
      <c r="D57" s="1435"/>
      <c r="E57" s="1293"/>
      <c r="F57" s="1435"/>
      <c r="G57" s="1435"/>
      <c r="H57" s="1435"/>
      <c r="I57" s="1435"/>
      <c r="J57" s="1435"/>
      <c r="K57" s="1293"/>
      <c r="M57" s="778"/>
      <c r="N57" s="778"/>
      <c r="O57" s="778"/>
      <c r="P57" s="778"/>
    </row>
    <row r="58" spans="2:16">
      <c r="D58" s="1435"/>
      <c r="E58" s="1293"/>
      <c r="F58" s="1435"/>
      <c r="G58" s="1435"/>
      <c r="H58" s="1435"/>
      <c r="I58" s="1435"/>
      <c r="J58" s="1435"/>
      <c r="K58" s="1293"/>
      <c r="M58" s="778"/>
      <c r="N58" s="778"/>
      <c r="O58" s="778"/>
      <c r="P58" s="778"/>
    </row>
    <row r="59" spans="2:16">
      <c r="D59" s="1435"/>
      <c r="E59" s="1293"/>
      <c r="F59" s="1435"/>
      <c r="G59" s="1435"/>
      <c r="H59" s="1435"/>
      <c r="I59" s="1435"/>
      <c r="J59" s="1435"/>
      <c r="K59" s="1293"/>
      <c r="M59" s="778"/>
      <c r="N59" s="778"/>
      <c r="O59" s="778"/>
      <c r="P59" s="778"/>
    </row>
    <row r="60" spans="2:16">
      <c r="D60" s="1435"/>
      <c r="E60" s="1293"/>
      <c r="F60" s="1435"/>
      <c r="G60" s="1435"/>
      <c r="H60" s="1435"/>
      <c r="I60" s="1435"/>
      <c r="J60" s="1435"/>
      <c r="K60" s="1293"/>
      <c r="M60" s="778"/>
      <c r="N60" s="778"/>
      <c r="O60" s="778"/>
      <c r="P60" s="778"/>
    </row>
    <row r="61" spans="2:16">
      <c r="D61" s="1435"/>
      <c r="E61" s="1293"/>
      <c r="F61" s="1435"/>
      <c r="G61" s="1435"/>
      <c r="H61" s="1435"/>
      <c r="I61" s="1435"/>
      <c r="J61" s="1435"/>
      <c r="K61" s="1293"/>
      <c r="M61" s="778"/>
      <c r="N61" s="778"/>
      <c r="O61" s="778"/>
      <c r="P61" s="778"/>
    </row>
    <row r="62" spans="2:16">
      <c r="D62" s="1435"/>
      <c r="E62" s="1293"/>
      <c r="F62" s="1435"/>
      <c r="G62" s="1435"/>
      <c r="H62" s="1435"/>
      <c r="I62" s="1435"/>
      <c r="J62" s="1435"/>
      <c r="K62" s="1293"/>
      <c r="M62" s="778"/>
      <c r="N62" s="778"/>
      <c r="O62" s="778"/>
      <c r="P62" s="778"/>
    </row>
    <row r="63" spans="2:16">
      <c r="D63" s="1435"/>
      <c r="E63" s="1293"/>
      <c r="F63" s="1435"/>
      <c r="G63" s="1435"/>
      <c r="H63" s="1435"/>
      <c r="I63" s="1435"/>
      <c r="J63" s="1435"/>
      <c r="K63" s="1293"/>
      <c r="M63" s="778"/>
      <c r="N63" s="778"/>
      <c r="O63" s="778"/>
      <c r="P63" s="778"/>
    </row>
    <row r="64" spans="2:16">
      <c r="D64" s="1435"/>
      <c r="E64" s="1293"/>
      <c r="F64" s="1435"/>
      <c r="G64" s="1435"/>
      <c r="H64" s="1435"/>
      <c r="I64" s="1435"/>
      <c r="J64" s="1435"/>
      <c r="K64" s="1293"/>
      <c r="M64" s="778"/>
      <c r="N64" s="778"/>
      <c r="O64" s="778"/>
      <c r="P64" s="778"/>
    </row>
    <row r="65" spans="4:16">
      <c r="D65" s="1435"/>
      <c r="E65" s="1293"/>
      <c r="F65" s="1435"/>
      <c r="G65" s="1435"/>
      <c r="H65" s="1435"/>
      <c r="I65" s="1435"/>
      <c r="J65" s="1435"/>
      <c r="K65" s="1293"/>
      <c r="M65" s="778"/>
      <c r="N65" s="778"/>
      <c r="O65" s="778"/>
      <c r="P65" s="778"/>
    </row>
    <row r="66" spans="4:16">
      <c r="D66" s="1435"/>
      <c r="E66" s="1293"/>
      <c r="F66" s="1435"/>
      <c r="G66" s="1435"/>
      <c r="H66" s="1435"/>
      <c r="I66" s="1435"/>
      <c r="J66" s="1435"/>
      <c r="K66" s="1293"/>
      <c r="M66" s="778"/>
      <c r="N66" s="778"/>
      <c r="O66" s="778"/>
      <c r="P66" s="778"/>
    </row>
    <row r="67" spans="4:16">
      <c r="D67" s="1435"/>
      <c r="E67" s="1293"/>
      <c r="F67" s="1435"/>
      <c r="G67" s="1435"/>
      <c r="H67" s="1435"/>
      <c r="I67" s="1435"/>
      <c r="J67" s="1435"/>
      <c r="K67" s="1293"/>
      <c r="M67" s="778"/>
      <c r="N67" s="778"/>
      <c r="O67" s="778"/>
      <c r="P67" s="778"/>
    </row>
    <row r="68" spans="4:16">
      <c r="D68" s="1435"/>
      <c r="E68" s="1293"/>
      <c r="F68" s="1435"/>
      <c r="G68" s="1435"/>
      <c r="H68" s="1435"/>
      <c r="I68" s="1435"/>
      <c r="J68" s="1435"/>
      <c r="K68" s="1293"/>
      <c r="M68" s="778"/>
      <c r="N68" s="778"/>
      <c r="O68" s="778"/>
      <c r="P68" s="778"/>
    </row>
    <row r="69" spans="4:16">
      <c r="D69" s="1435"/>
      <c r="E69" s="1293"/>
      <c r="F69" s="1435"/>
      <c r="G69" s="1435"/>
      <c r="H69" s="1435"/>
      <c r="I69" s="1435"/>
      <c r="J69" s="1435"/>
      <c r="K69" s="1293"/>
      <c r="M69" s="778"/>
      <c r="N69" s="778"/>
      <c r="O69" s="778"/>
      <c r="P69" s="778"/>
    </row>
    <row r="70" spans="4:16">
      <c r="D70" s="1435"/>
      <c r="E70" s="1293"/>
      <c r="F70" s="1435"/>
      <c r="G70" s="1435"/>
      <c r="H70" s="1435"/>
      <c r="I70" s="1435"/>
      <c r="J70" s="1435"/>
      <c r="K70" s="1293"/>
      <c r="M70" s="778"/>
      <c r="N70" s="778"/>
      <c r="O70" s="778"/>
      <c r="P70" s="778"/>
    </row>
    <row r="71" spans="4:16">
      <c r="D71" s="1435"/>
      <c r="E71" s="1293"/>
      <c r="F71" s="1435"/>
      <c r="G71" s="1435"/>
      <c r="H71" s="1435"/>
      <c r="I71" s="1435"/>
      <c r="J71" s="1435"/>
      <c r="K71" s="1293"/>
      <c r="M71" s="778"/>
      <c r="N71" s="778"/>
      <c r="O71" s="778"/>
      <c r="P71" s="778"/>
    </row>
    <row r="72" spans="4:16">
      <c r="D72" s="1435"/>
      <c r="E72" s="1293"/>
      <c r="F72" s="1435"/>
      <c r="G72" s="1435"/>
      <c r="H72" s="1435"/>
      <c r="I72" s="1435"/>
      <c r="J72" s="1435"/>
      <c r="K72" s="1293"/>
      <c r="M72" s="778"/>
      <c r="N72" s="778"/>
      <c r="O72" s="778"/>
      <c r="P72" s="778"/>
    </row>
    <row r="73" spans="4:16">
      <c r="D73" s="1435"/>
      <c r="E73" s="1293"/>
      <c r="F73" s="1435"/>
      <c r="G73" s="1435"/>
      <c r="H73" s="1435"/>
      <c r="I73" s="1435"/>
      <c r="J73" s="1435"/>
      <c r="K73" s="1293"/>
      <c r="M73" s="778"/>
      <c r="N73" s="778"/>
      <c r="O73" s="778"/>
      <c r="P73" s="778"/>
    </row>
    <row r="74" spans="4:16">
      <c r="D74" s="1435"/>
      <c r="E74" s="1293"/>
      <c r="F74" s="1435"/>
      <c r="G74" s="1435"/>
      <c r="H74" s="1435"/>
      <c r="I74" s="1435"/>
      <c r="J74" s="1435"/>
      <c r="K74" s="1293"/>
      <c r="M74" s="778"/>
      <c r="N74" s="778"/>
      <c r="O74" s="778"/>
      <c r="P74" s="778"/>
    </row>
    <row r="75" spans="4:16">
      <c r="D75" s="1435"/>
      <c r="E75" s="1293"/>
      <c r="F75" s="1435"/>
      <c r="G75" s="1435"/>
      <c r="H75" s="1435"/>
      <c r="I75" s="1435"/>
      <c r="J75" s="1435"/>
      <c r="K75" s="1293"/>
      <c r="M75" s="778"/>
      <c r="N75" s="778"/>
      <c r="O75" s="778"/>
      <c r="P75" s="778"/>
    </row>
    <row r="76" spans="4:16">
      <c r="D76" s="1435"/>
      <c r="E76" s="1293"/>
      <c r="F76" s="1435"/>
      <c r="G76" s="1435"/>
      <c r="H76" s="1435"/>
      <c r="I76" s="1435"/>
      <c r="J76" s="1435"/>
      <c r="K76" s="1293"/>
      <c r="M76" s="778"/>
      <c r="N76" s="778"/>
      <c r="O76" s="778"/>
      <c r="P76" s="77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45" firstPageNumber="104" orientation="portrait" useFirstPageNumber="1" r:id="rId2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79"/>
  <sheetViews>
    <sheetView topLeftCell="A19" zoomScale="120" zoomScaleNormal="120" workbookViewId="0">
      <selection activeCell="H46" sqref="H46"/>
    </sheetView>
  </sheetViews>
  <sheetFormatPr defaultRowHeight="15"/>
  <cols>
    <col min="1" max="1" width="8.5703125" style="769" customWidth="1"/>
    <col min="2" max="2" width="7.7109375" style="769" customWidth="1"/>
    <col min="3" max="3" width="8.7109375" style="769" customWidth="1"/>
    <col min="4" max="4" width="10.28515625" style="769" customWidth="1"/>
    <col min="5" max="5" width="7.85546875" style="769" customWidth="1"/>
    <col min="6" max="6" width="8.85546875" style="769" customWidth="1"/>
    <col min="7" max="7" width="7.7109375" style="769" customWidth="1"/>
    <col min="8" max="8" width="8.42578125" style="769" customWidth="1"/>
    <col min="9" max="9" width="10.28515625" style="769" customWidth="1"/>
    <col min="10" max="10" width="9.7109375" style="769" customWidth="1"/>
    <col min="11" max="11" width="9.85546875" style="769" customWidth="1"/>
    <col min="12" max="12" width="10.5703125" style="769" customWidth="1"/>
    <col min="13" max="13" width="9.140625" style="769" customWidth="1"/>
    <col min="14" max="14" width="9.42578125" style="769" customWidth="1"/>
    <col min="15" max="15" width="8.85546875" style="769" customWidth="1"/>
    <col min="16" max="16" width="9.7109375" style="769" customWidth="1"/>
    <col min="17" max="17" width="7.5703125" style="769" customWidth="1"/>
    <col min="18" max="16384" width="9.140625" style="769"/>
  </cols>
  <sheetData>
    <row r="2" spans="1:17" ht="45" customHeight="1">
      <c r="A2" s="766"/>
      <c r="B2" s="767"/>
      <c r="C2" s="767"/>
      <c r="D2" s="774"/>
      <c r="E2" s="774"/>
      <c r="F2" s="774"/>
      <c r="G2" s="2351" t="s">
        <v>2395</v>
      </c>
      <c r="H2" s="2351"/>
      <c r="I2" s="2351"/>
      <c r="J2" s="1381" t="s">
        <v>2394</v>
      </c>
      <c r="K2" s="1381"/>
      <c r="L2" s="1381"/>
      <c r="M2" s="1376"/>
      <c r="N2" s="767"/>
      <c r="O2" s="767"/>
      <c r="P2" s="2340" t="s">
        <v>2217</v>
      </c>
      <c r="Q2" s="2340"/>
    </row>
    <row r="3" spans="1:17">
      <c r="P3" s="2352" t="s">
        <v>24</v>
      </c>
      <c r="Q3" s="2352"/>
    </row>
    <row r="4" spans="1:17" s="1184" customFormat="1">
      <c r="A4" s="2353" t="s">
        <v>521</v>
      </c>
      <c r="B4" s="2342" t="s">
        <v>528</v>
      </c>
      <c r="C4" s="2356" t="s">
        <v>1565</v>
      </c>
      <c r="D4" s="2356"/>
      <c r="E4" s="2356"/>
      <c r="F4" s="2356" t="s">
        <v>2393</v>
      </c>
      <c r="G4" s="2356"/>
      <c r="H4" s="2356"/>
      <c r="I4" s="2356"/>
      <c r="J4" s="2356"/>
      <c r="K4" s="2342" t="s">
        <v>1595</v>
      </c>
      <c r="L4" s="2346" t="s">
        <v>1596</v>
      </c>
      <c r="M4" s="2346" t="s">
        <v>1560</v>
      </c>
      <c r="N4" s="2345" t="s">
        <v>1561</v>
      </c>
      <c r="O4" s="2346" t="s">
        <v>1581</v>
      </c>
      <c r="P4" s="2346" t="s">
        <v>1563</v>
      </c>
      <c r="Q4" s="2346" t="s">
        <v>1570</v>
      </c>
    </row>
    <row r="5" spans="1:17" s="1184" customFormat="1" ht="72">
      <c r="A5" s="2354"/>
      <c r="B5" s="2343"/>
      <c r="C5" s="1291" t="s">
        <v>1566</v>
      </c>
      <c r="D5" s="1286" t="s">
        <v>1567</v>
      </c>
      <c r="E5" s="1286" t="s">
        <v>1575</v>
      </c>
      <c r="F5" s="1286" t="s">
        <v>1568</v>
      </c>
      <c r="G5" s="1286" t="s">
        <v>1593</v>
      </c>
      <c r="H5" s="1286" t="s">
        <v>1569</v>
      </c>
      <c r="I5" s="1286" t="s">
        <v>1594</v>
      </c>
      <c r="J5" s="1286" t="s">
        <v>1574</v>
      </c>
      <c r="K5" s="2343"/>
      <c r="L5" s="2346"/>
      <c r="M5" s="2346"/>
      <c r="N5" s="2345"/>
      <c r="O5" s="2346"/>
      <c r="P5" s="2346"/>
      <c r="Q5" s="2346"/>
    </row>
    <row r="6" spans="1:17" s="1184" customFormat="1">
      <c r="A6" s="2355"/>
      <c r="B6" s="1291">
        <v>1</v>
      </c>
      <c r="C6" s="1286">
        <v>2</v>
      </c>
      <c r="D6" s="1286">
        <v>3</v>
      </c>
      <c r="E6" s="1286">
        <v>4</v>
      </c>
      <c r="F6" s="1286">
        <v>5</v>
      </c>
      <c r="G6" s="1286">
        <v>6</v>
      </c>
      <c r="H6" s="1286">
        <v>7</v>
      </c>
      <c r="I6" s="1286">
        <v>8</v>
      </c>
      <c r="J6" s="1286">
        <v>9</v>
      </c>
      <c r="K6" s="1286">
        <v>10</v>
      </c>
      <c r="L6" s="1286">
        <v>11</v>
      </c>
      <c r="M6" s="1286">
        <v>12</v>
      </c>
      <c r="N6" s="1286">
        <v>13</v>
      </c>
      <c r="O6" s="1286">
        <v>14</v>
      </c>
      <c r="P6" s="1286">
        <v>15</v>
      </c>
      <c r="Q6" s="1286">
        <v>16</v>
      </c>
    </row>
    <row r="7" spans="1:17" s="1184" customFormat="1" ht="12.2" customHeight="1">
      <c r="A7" s="1536" t="s">
        <v>1471</v>
      </c>
      <c r="B7" s="1549">
        <v>219839.3</v>
      </c>
      <c r="C7" s="1549">
        <v>317375.09999999998</v>
      </c>
      <c r="D7" s="1549">
        <v>1038405.3</v>
      </c>
      <c r="E7" s="1549">
        <v>1355780.4</v>
      </c>
      <c r="F7" s="1549">
        <v>139383</v>
      </c>
      <c r="G7" s="1549">
        <v>113589.4</v>
      </c>
      <c r="H7" s="1549">
        <v>894292.2</v>
      </c>
      <c r="I7" s="1549">
        <v>226328.5</v>
      </c>
      <c r="J7" s="1549">
        <v>1373593.1</v>
      </c>
      <c r="K7" s="1549">
        <v>466.8</v>
      </c>
      <c r="L7" s="1549">
        <v>1708</v>
      </c>
      <c r="M7" s="1549">
        <v>162.19999999999999</v>
      </c>
      <c r="N7" s="1549">
        <v>0</v>
      </c>
      <c r="O7" s="1549">
        <v>0</v>
      </c>
      <c r="P7" s="1549">
        <v>149063.6</v>
      </c>
      <c r="Q7" s="1549">
        <v>50626</v>
      </c>
    </row>
    <row r="8" spans="1:17" s="1184" customFormat="1" ht="12.2" customHeight="1">
      <c r="A8" s="1597" t="s">
        <v>1600</v>
      </c>
      <c r="B8" s="506">
        <v>220491</v>
      </c>
      <c r="C8" s="506">
        <v>386582.8</v>
      </c>
      <c r="D8" s="506">
        <v>1153197</v>
      </c>
      <c r="E8" s="506">
        <v>1539779.8</v>
      </c>
      <c r="F8" s="506">
        <v>152754.4</v>
      </c>
      <c r="G8" s="506">
        <v>118282.1</v>
      </c>
      <c r="H8" s="506">
        <v>988445.9</v>
      </c>
      <c r="I8" s="506">
        <v>275041.7</v>
      </c>
      <c r="J8" s="506">
        <v>1534524.1</v>
      </c>
      <c r="K8" s="506">
        <v>559.29999999999995</v>
      </c>
      <c r="L8" s="506">
        <v>2074.1999999999998</v>
      </c>
      <c r="M8" s="506">
        <v>215.9</v>
      </c>
      <c r="N8" s="506">
        <v>0</v>
      </c>
      <c r="O8" s="506">
        <v>0</v>
      </c>
      <c r="P8" s="506">
        <v>153559.5</v>
      </c>
      <c r="Q8" s="506">
        <v>69337.8</v>
      </c>
    </row>
    <row r="9" spans="1:17" s="778" customFormat="1" ht="12.2" customHeight="1">
      <c r="A9" s="1537" t="s">
        <v>1695</v>
      </c>
      <c r="B9" s="1538">
        <v>250287.4</v>
      </c>
      <c r="C9" s="1538">
        <v>465640.7</v>
      </c>
      <c r="D9" s="1538">
        <v>1247986.8999999999</v>
      </c>
      <c r="E9" s="1538">
        <v>1713627.5999999999</v>
      </c>
      <c r="F9" s="1538">
        <v>190570.5</v>
      </c>
      <c r="G9" s="1538">
        <v>135586.20000000001</v>
      </c>
      <c r="H9" s="1538">
        <v>1090287</v>
      </c>
      <c r="I9" s="1538">
        <v>288223.59999999998</v>
      </c>
      <c r="J9" s="1538">
        <v>1704667.2999999998</v>
      </c>
      <c r="K9" s="1538">
        <v>1431.1</v>
      </c>
      <c r="L9" s="1538">
        <v>2131</v>
      </c>
      <c r="M9" s="1538">
        <v>127.3</v>
      </c>
      <c r="N9" s="1538">
        <v>0</v>
      </c>
      <c r="O9" s="1538">
        <v>0</v>
      </c>
      <c r="P9" s="1538">
        <v>162648.1</v>
      </c>
      <c r="Q9" s="1538">
        <v>92910.2</v>
      </c>
    </row>
    <row r="10" spans="1:17" s="778" customFormat="1" ht="12.2" customHeight="1">
      <c r="A10" s="1076" t="s">
        <v>1764</v>
      </c>
      <c r="B10" s="1539">
        <f>B22</f>
        <v>334673.7</v>
      </c>
      <c r="C10" s="1539">
        <f t="shared" ref="C10:Q10" si="0">C22</f>
        <v>548617.69999999995</v>
      </c>
      <c r="D10" s="1539">
        <f t="shared" si="0"/>
        <v>1349330.6</v>
      </c>
      <c r="E10" s="1539">
        <f t="shared" si="0"/>
        <v>1897948.3</v>
      </c>
      <c r="F10" s="1539">
        <f t="shared" si="0"/>
        <v>207949.2</v>
      </c>
      <c r="G10" s="1539">
        <f t="shared" si="0"/>
        <v>165171.20000000001</v>
      </c>
      <c r="H10" s="1539">
        <f t="shared" si="0"/>
        <v>1226821.1000000001</v>
      </c>
      <c r="I10" s="1539">
        <f t="shared" si="0"/>
        <v>329302.40000000002</v>
      </c>
      <c r="J10" s="1539">
        <f t="shared" si="0"/>
        <v>1929243.9</v>
      </c>
      <c r="K10" s="1539">
        <f t="shared" si="0"/>
        <v>1821.9</v>
      </c>
      <c r="L10" s="1539">
        <f t="shared" si="0"/>
        <v>2833.2</v>
      </c>
      <c r="M10" s="1539">
        <f t="shared" si="0"/>
        <v>147.80000000000001</v>
      </c>
      <c r="N10" s="1539">
        <f t="shared" si="0"/>
        <v>0</v>
      </c>
      <c r="O10" s="1539">
        <f t="shared" si="0"/>
        <v>0</v>
      </c>
      <c r="P10" s="1539">
        <f t="shared" si="0"/>
        <v>186910.6</v>
      </c>
      <c r="Q10" s="1539">
        <f t="shared" si="0"/>
        <v>111664.6</v>
      </c>
    </row>
    <row r="11" spans="1:17" s="778" customFormat="1" ht="12.2" customHeight="1">
      <c r="A11" s="1077" t="s">
        <v>606</v>
      </c>
      <c r="B11" s="488">
        <v>263960.90000000002</v>
      </c>
      <c r="C11" s="488">
        <v>484604.8</v>
      </c>
      <c r="D11" s="488">
        <v>1245470.5</v>
      </c>
      <c r="E11" s="488">
        <f t="shared" ref="E11:E27" si="1">C11+D11</f>
        <v>1730075.3</v>
      </c>
      <c r="F11" s="488">
        <v>209439.6</v>
      </c>
      <c r="G11" s="488">
        <v>127923.2</v>
      </c>
      <c r="H11" s="488">
        <v>1109741.7</v>
      </c>
      <c r="I11" s="488">
        <v>291773.5</v>
      </c>
      <c r="J11" s="488">
        <f t="shared" ref="J11:J40" si="2">F11+G11+H11+I11</f>
        <v>1738878</v>
      </c>
      <c r="K11" s="488">
        <v>987.5</v>
      </c>
      <c r="L11" s="488">
        <v>2140.1</v>
      </c>
      <c r="M11" s="488">
        <v>133.5</v>
      </c>
      <c r="N11" s="488">
        <v>0</v>
      </c>
      <c r="O11" s="488">
        <v>0</v>
      </c>
      <c r="P11" s="488">
        <v>165009.70000000001</v>
      </c>
      <c r="Q11" s="488">
        <v>86887.4</v>
      </c>
    </row>
    <row r="12" spans="1:17" s="778" customFormat="1" ht="12.2" customHeight="1">
      <c r="A12" s="1078" t="s">
        <v>607</v>
      </c>
      <c r="B12" s="507">
        <v>277787.40000000002</v>
      </c>
      <c r="C12" s="507">
        <v>487765.3</v>
      </c>
      <c r="D12" s="507">
        <v>1250215.3999999999</v>
      </c>
      <c r="E12" s="507">
        <f t="shared" si="1"/>
        <v>1737980.7</v>
      </c>
      <c r="F12" s="507">
        <v>192442.8</v>
      </c>
      <c r="G12" s="507">
        <v>133572.6</v>
      </c>
      <c r="H12" s="507">
        <v>1130240.8999999999</v>
      </c>
      <c r="I12" s="507">
        <v>295381.8</v>
      </c>
      <c r="J12" s="507">
        <f t="shared" si="2"/>
        <v>1751638.0999999999</v>
      </c>
      <c r="K12" s="507">
        <v>4164.8999999999996</v>
      </c>
      <c r="L12" s="507">
        <v>2170.4</v>
      </c>
      <c r="M12" s="507">
        <v>185.3</v>
      </c>
      <c r="N12" s="507">
        <v>0</v>
      </c>
      <c r="O12" s="507">
        <v>0</v>
      </c>
      <c r="P12" s="507">
        <v>171410.7</v>
      </c>
      <c r="Q12" s="507">
        <v>86198.7</v>
      </c>
    </row>
    <row r="13" spans="1:17" s="778" customFormat="1" ht="12.2" customHeight="1">
      <c r="A13" s="1077" t="s">
        <v>601</v>
      </c>
      <c r="B13" s="488">
        <v>286745</v>
      </c>
      <c r="C13" s="488">
        <v>487350.7</v>
      </c>
      <c r="D13" s="488">
        <v>1261915.8999999999</v>
      </c>
      <c r="E13" s="488">
        <f t="shared" si="1"/>
        <v>1749266.5999999999</v>
      </c>
      <c r="F13" s="488">
        <v>187650</v>
      </c>
      <c r="G13" s="488">
        <v>135578.4</v>
      </c>
      <c r="H13" s="488">
        <v>1144433.1000000001</v>
      </c>
      <c r="I13" s="488">
        <v>299445.5</v>
      </c>
      <c r="J13" s="488">
        <f t="shared" si="2"/>
        <v>1767107</v>
      </c>
      <c r="K13" s="488">
        <v>1690.4</v>
      </c>
      <c r="L13" s="488">
        <v>2266.1</v>
      </c>
      <c r="M13" s="488">
        <v>142.5</v>
      </c>
      <c r="N13" s="488">
        <v>0</v>
      </c>
      <c r="O13" s="488">
        <v>0</v>
      </c>
      <c r="P13" s="488">
        <v>173626.4</v>
      </c>
      <c r="Q13" s="488">
        <v>91179.199999999997</v>
      </c>
    </row>
    <row r="14" spans="1:17" s="778" customFormat="1" ht="12.2" customHeight="1">
      <c r="A14" s="1078" t="s">
        <v>608</v>
      </c>
      <c r="B14" s="507">
        <v>293056.8</v>
      </c>
      <c r="C14" s="507">
        <v>492905.7</v>
      </c>
      <c r="D14" s="507">
        <v>1265324.5</v>
      </c>
      <c r="E14" s="507">
        <f t="shared" si="1"/>
        <v>1758230.2</v>
      </c>
      <c r="F14" s="507">
        <v>186506.2</v>
      </c>
      <c r="G14" s="507">
        <v>134374.5</v>
      </c>
      <c r="H14" s="507">
        <v>1160252.1000000001</v>
      </c>
      <c r="I14" s="507">
        <v>303352.40000000002</v>
      </c>
      <c r="J14" s="507">
        <f t="shared" si="2"/>
        <v>1784485.2000000002</v>
      </c>
      <c r="K14" s="507">
        <v>1724.1</v>
      </c>
      <c r="L14" s="507">
        <v>2297.4</v>
      </c>
      <c r="M14" s="507">
        <v>68.400000000000006</v>
      </c>
      <c r="N14" s="507">
        <v>0</v>
      </c>
      <c r="O14" s="507">
        <v>0</v>
      </c>
      <c r="P14" s="507">
        <v>180987.2</v>
      </c>
      <c r="Q14" s="507">
        <v>81724.7</v>
      </c>
    </row>
    <row r="15" spans="1:17" s="778" customFormat="1" ht="12.2" customHeight="1">
      <c r="A15" s="1077" t="s">
        <v>609</v>
      </c>
      <c r="B15" s="488">
        <v>302477.40000000002</v>
      </c>
      <c r="C15" s="488">
        <v>497895</v>
      </c>
      <c r="D15" s="488">
        <v>1271988.5</v>
      </c>
      <c r="E15" s="488">
        <f t="shared" si="1"/>
        <v>1769883.5</v>
      </c>
      <c r="F15" s="488">
        <v>183887.6</v>
      </c>
      <c r="G15" s="488">
        <v>140333.70000000001</v>
      </c>
      <c r="H15" s="488">
        <v>1170587.2</v>
      </c>
      <c r="I15" s="488">
        <v>306589</v>
      </c>
      <c r="J15" s="488">
        <f t="shared" si="2"/>
        <v>1801397.5</v>
      </c>
      <c r="K15" s="488">
        <v>1061.5</v>
      </c>
      <c r="L15" s="488">
        <v>2292</v>
      </c>
      <c r="M15" s="488">
        <v>70.400000000000006</v>
      </c>
      <c r="N15" s="488">
        <v>0</v>
      </c>
      <c r="O15" s="488">
        <v>0</v>
      </c>
      <c r="P15" s="488">
        <v>182447.1</v>
      </c>
      <c r="Q15" s="488">
        <v>85092.4</v>
      </c>
    </row>
    <row r="16" spans="1:17" s="627" customFormat="1" ht="12.2" customHeight="1">
      <c r="A16" s="1078" t="s">
        <v>602</v>
      </c>
      <c r="B16" s="507">
        <v>314120.7</v>
      </c>
      <c r="C16" s="507">
        <v>497145.9</v>
      </c>
      <c r="D16" s="507">
        <v>1294377.8</v>
      </c>
      <c r="E16" s="507">
        <f t="shared" si="1"/>
        <v>1791523.7000000002</v>
      </c>
      <c r="F16" s="507">
        <v>185916.5</v>
      </c>
      <c r="G16" s="507">
        <v>148452.4</v>
      </c>
      <c r="H16" s="507">
        <v>1187498.1000000001</v>
      </c>
      <c r="I16" s="507">
        <v>307949.2</v>
      </c>
      <c r="J16" s="507">
        <f t="shared" si="2"/>
        <v>1829816.2</v>
      </c>
      <c r="K16" s="507">
        <v>1504.2</v>
      </c>
      <c r="L16" s="507">
        <v>2712.4</v>
      </c>
      <c r="M16" s="507">
        <v>82.2</v>
      </c>
      <c r="N16" s="507">
        <v>0</v>
      </c>
      <c r="O16" s="507">
        <v>0</v>
      </c>
      <c r="P16" s="507">
        <v>184166.2</v>
      </c>
      <c r="Q16" s="507">
        <v>87363.199999999997</v>
      </c>
    </row>
    <row r="17" spans="1:17" s="778" customFormat="1" ht="12.2" customHeight="1">
      <c r="A17" s="1077" t="s">
        <v>610</v>
      </c>
      <c r="B17" s="488">
        <v>315659.59999999998</v>
      </c>
      <c r="C17" s="488">
        <v>502535.9</v>
      </c>
      <c r="D17" s="488">
        <v>1292740.3999999999</v>
      </c>
      <c r="E17" s="488">
        <f t="shared" si="1"/>
        <v>1795276.2999999998</v>
      </c>
      <c r="F17" s="488">
        <v>184189.7</v>
      </c>
      <c r="G17" s="488">
        <v>142249.5</v>
      </c>
      <c r="H17" s="488">
        <v>1188304.8999999999</v>
      </c>
      <c r="I17" s="488">
        <v>313076.8</v>
      </c>
      <c r="J17" s="488">
        <f t="shared" si="2"/>
        <v>1827820.9</v>
      </c>
      <c r="K17" s="488">
        <v>1693</v>
      </c>
      <c r="L17" s="488">
        <v>2742.8</v>
      </c>
      <c r="M17" s="488">
        <v>81.5</v>
      </c>
      <c r="N17" s="488">
        <v>0</v>
      </c>
      <c r="O17" s="488">
        <v>0</v>
      </c>
      <c r="P17" s="488">
        <v>172714.6</v>
      </c>
      <c r="Q17" s="488">
        <v>105883.1</v>
      </c>
    </row>
    <row r="18" spans="1:17" s="778" customFormat="1" ht="12.2" customHeight="1">
      <c r="A18" s="1078" t="s">
        <v>611</v>
      </c>
      <c r="B18" s="507">
        <v>317586.8</v>
      </c>
      <c r="C18" s="507">
        <v>494398</v>
      </c>
      <c r="D18" s="507">
        <v>1307608.8999999999</v>
      </c>
      <c r="E18" s="507">
        <f t="shared" si="1"/>
        <v>1802006.9</v>
      </c>
      <c r="F18" s="507">
        <v>183777.8</v>
      </c>
      <c r="G18" s="507">
        <v>145124.9</v>
      </c>
      <c r="H18" s="507">
        <v>1194332.3</v>
      </c>
      <c r="I18" s="507">
        <v>316616.7</v>
      </c>
      <c r="J18" s="507">
        <f t="shared" si="2"/>
        <v>1839851.7</v>
      </c>
      <c r="K18" s="507">
        <v>1326.7</v>
      </c>
      <c r="L18" s="507">
        <v>2824.4</v>
      </c>
      <c r="M18" s="507">
        <v>80.099999999999994</v>
      </c>
      <c r="N18" s="507">
        <v>0</v>
      </c>
      <c r="O18" s="507">
        <v>0</v>
      </c>
      <c r="P18" s="507">
        <v>170693.7</v>
      </c>
      <c r="Q18" s="507">
        <v>104817.1</v>
      </c>
    </row>
    <row r="19" spans="1:17" s="778" customFormat="1" ht="12.2" customHeight="1">
      <c r="A19" s="1077" t="s">
        <v>603</v>
      </c>
      <c r="B19" s="488">
        <v>318367</v>
      </c>
      <c r="C19" s="488">
        <v>497289.9</v>
      </c>
      <c r="D19" s="488">
        <v>1316216.6000000001</v>
      </c>
      <c r="E19" s="488">
        <f t="shared" si="1"/>
        <v>1813506.5</v>
      </c>
      <c r="F19" s="488">
        <v>182654.9</v>
      </c>
      <c r="G19" s="488">
        <v>145248</v>
      </c>
      <c r="H19" s="488">
        <v>1198271.3</v>
      </c>
      <c r="I19" s="488">
        <v>320468.40000000002</v>
      </c>
      <c r="J19" s="488">
        <f t="shared" si="2"/>
        <v>1846642.6</v>
      </c>
      <c r="K19" s="488">
        <v>1768.3</v>
      </c>
      <c r="L19" s="488">
        <v>2816.3</v>
      </c>
      <c r="M19" s="488">
        <v>77.599999999999994</v>
      </c>
      <c r="N19" s="488">
        <v>0</v>
      </c>
      <c r="O19" s="488">
        <v>0</v>
      </c>
      <c r="P19" s="488">
        <v>177485.2</v>
      </c>
      <c r="Q19" s="488">
        <v>103083.5</v>
      </c>
    </row>
    <row r="20" spans="1:17" s="778" customFormat="1" ht="12.2" customHeight="1">
      <c r="A20" s="1078" t="s">
        <v>612</v>
      </c>
      <c r="B20" s="507">
        <v>324732.7</v>
      </c>
      <c r="C20" s="507">
        <v>506708.9</v>
      </c>
      <c r="D20" s="507">
        <v>1321297.5</v>
      </c>
      <c r="E20" s="507">
        <f t="shared" si="1"/>
        <v>1828006.4</v>
      </c>
      <c r="F20" s="507">
        <v>190849.1</v>
      </c>
      <c r="G20" s="507">
        <v>147047.4</v>
      </c>
      <c r="H20" s="507">
        <v>1203204</v>
      </c>
      <c r="I20" s="507">
        <v>321991.90000000002</v>
      </c>
      <c r="J20" s="507">
        <f t="shared" si="2"/>
        <v>1863092.4</v>
      </c>
      <c r="K20" s="507">
        <v>1744.7</v>
      </c>
      <c r="L20" s="507">
        <v>2799.6</v>
      </c>
      <c r="M20" s="507">
        <v>77.099999999999994</v>
      </c>
      <c r="N20" s="507">
        <v>0</v>
      </c>
      <c r="O20" s="507">
        <v>0</v>
      </c>
      <c r="P20" s="507">
        <v>180551.7</v>
      </c>
      <c r="Q20" s="507">
        <v>104473.60000000001</v>
      </c>
    </row>
    <row r="21" spans="1:17" s="778" customFormat="1" ht="12.2" customHeight="1">
      <c r="A21" s="1077" t="s">
        <v>613</v>
      </c>
      <c r="B21" s="488">
        <v>331765.7</v>
      </c>
      <c r="C21" s="488">
        <v>519954.1</v>
      </c>
      <c r="D21" s="488">
        <v>1331056.3</v>
      </c>
      <c r="E21" s="488">
        <f t="shared" si="1"/>
        <v>1851010.4</v>
      </c>
      <c r="F21" s="488">
        <v>199639.6</v>
      </c>
      <c r="G21" s="488">
        <v>151488.5</v>
      </c>
      <c r="H21" s="488">
        <v>1216002.6000000001</v>
      </c>
      <c r="I21" s="488">
        <v>324633.09999999998</v>
      </c>
      <c r="J21" s="488">
        <f t="shared" si="2"/>
        <v>1891763.8000000003</v>
      </c>
      <c r="K21" s="488">
        <v>1514.8</v>
      </c>
      <c r="L21" s="488">
        <v>2835.1</v>
      </c>
      <c r="M21" s="488">
        <v>92.7</v>
      </c>
      <c r="N21" s="488">
        <v>0</v>
      </c>
      <c r="O21" s="488">
        <v>0</v>
      </c>
      <c r="P21" s="488">
        <v>182383.1</v>
      </c>
      <c r="Q21" s="488">
        <v>104186.6</v>
      </c>
    </row>
    <row r="22" spans="1:17" s="778" customFormat="1" ht="12.2" customHeight="1">
      <c r="A22" s="1078" t="s">
        <v>604</v>
      </c>
      <c r="B22" s="507">
        <v>334673.7</v>
      </c>
      <c r="C22" s="507">
        <v>548617.69999999995</v>
      </c>
      <c r="D22" s="507">
        <v>1349330.6</v>
      </c>
      <c r="E22" s="507">
        <f t="shared" si="1"/>
        <v>1897948.3</v>
      </c>
      <c r="F22" s="507">
        <v>207949.2</v>
      </c>
      <c r="G22" s="507">
        <v>165171.20000000001</v>
      </c>
      <c r="H22" s="507">
        <v>1226821.1000000001</v>
      </c>
      <c r="I22" s="507">
        <v>329302.40000000002</v>
      </c>
      <c r="J22" s="507">
        <f t="shared" si="2"/>
        <v>1929243.9</v>
      </c>
      <c r="K22" s="507">
        <v>1821.9</v>
      </c>
      <c r="L22" s="507">
        <v>2833.2</v>
      </c>
      <c r="M22" s="507">
        <v>147.80000000000001</v>
      </c>
      <c r="N22" s="507">
        <v>0</v>
      </c>
      <c r="O22" s="507">
        <v>0</v>
      </c>
      <c r="P22" s="507">
        <v>186910.6</v>
      </c>
      <c r="Q22" s="507">
        <v>111664.6</v>
      </c>
    </row>
    <row r="23" spans="1:17" s="778" customFormat="1" ht="12.2" customHeight="1">
      <c r="A23" s="1183" t="s">
        <v>2166</v>
      </c>
      <c r="B23" s="1538">
        <f>B35</f>
        <v>304447.5</v>
      </c>
      <c r="C23" s="1538">
        <f t="shared" ref="C23:Q23" si="3">C35</f>
        <v>631729.80000000005</v>
      </c>
      <c r="D23" s="1538">
        <f t="shared" si="3"/>
        <v>1539232.5</v>
      </c>
      <c r="E23" s="1538">
        <f t="shared" si="3"/>
        <v>2170962.2999999998</v>
      </c>
      <c r="F23" s="1538">
        <f t="shared" si="3"/>
        <v>234783</v>
      </c>
      <c r="G23" s="1538">
        <f t="shared" si="3"/>
        <v>189735</v>
      </c>
      <c r="H23" s="1538">
        <f t="shared" si="3"/>
        <v>1324229.7</v>
      </c>
      <c r="I23" s="1538">
        <f t="shared" si="3"/>
        <v>350604.9</v>
      </c>
      <c r="J23" s="1538">
        <f t="shared" si="3"/>
        <v>2099352.6</v>
      </c>
      <c r="K23" s="1538">
        <f t="shared" si="3"/>
        <v>1590.4</v>
      </c>
      <c r="L23" s="1538">
        <f t="shared" si="3"/>
        <v>3021</v>
      </c>
      <c r="M23" s="1538">
        <f t="shared" si="3"/>
        <v>350.8</v>
      </c>
      <c r="N23" s="1538">
        <f t="shared" si="3"/>
        <v>0</v>
      </c>
      <c r="O23" s="1538">
        <f t="shared" si="3"/>
        <v>0</v>
      </c>
      <c r="P23" s="1538">
        <f t="shared" si="3"/>
        <v>206528.8</v>
      </c>
      <c r="Q23" s="1538">
        <f t="shared" si="3"/>
        <v>164566.1</v>
      </c>
    </row>
    <row r="24" spans="1:17" s="778" customFormat="1" ht="12.2" customHeight="1">
      <c r="A24" s="1078" t="s">
        <v>606</v>
      </c>
      <c r="B24" s="507">
        <v>335464.59999999998</v>
      </c>
      <c r="C24" s="507">
        <v>558745.59999999998</v>
      </c>
      <c r="D24" s="507">
        <v>1351563.4</v>
      </c>
      <c r="E24" s="507">
        <f t="shared" si="1"/>
        <v>1910309</v>
      </c>
      <c r="F24" s="507">
        <v>225471.3</v>
      </c>
      <c r="G24" s="507">
        <v>157202.20000000001</v>
      </c>
      <c r="H24" s="507">
        <v>1235403.3999999999</v>
      </c>
      <c r="I24" s="507">
        <v>331443.09999999998</v>
      </c>
      <c r="J24" s="507">
        <f t="shared" si="2"/>
        <v>1949520</v>
      </c>
      <c r="K24" s="507">
        <v>1157.5999999999999</v>
      </c>
      <c r="L24" s="507">
        <v>2799</v>
      </c>
      <c r="M24" s="507">
        <v>158.1</v>
      </c>
      <c r="N24" s="507">
        <v>0</v>
      </c>
      <c r="O24" s="507">
        <v>0</v>
      </c>
      <c r="P24" s="507">
        <v>184277</v>
      </c>
      <c r="Q24" s="507">
        <v>107861.9</v>
      </c>
    </row>
    <row r="25" spans="1:17" s="778" customFormat="1" ht="12.2" customHeight="1">
      <c r="A25" s="1077" t="s">
        <v>607</v>
      </c>
      <c r="B25" s="488">
        <v>337094</v>
      </c>
      <c r="C25" s="488">
        <v>553983.5</v>
      </c>
      <c r="D25" s="488">
        <v>1361418.6</v>
      </c>
      <c r="E25" s="488">
        <f t="shared" si="1"/>
        <v>1915402.1</v>
      </c>
      <c r="F25" s="488">
        <v>211940.1</v>
      </c>
      <c r="G25" s="488">
        <v>159936.1</v>
      </c>
      <c r="H25" s="488">
        <v>1244737.8</v>
      </c>
      <c r="I25" s="488">
        <v>335103.59999999998</v>
      </c>
      <c r="J25" s="488">
        <f t="shared" si="2"/>
        <v>1951717.6</v>
      </c>
      <c r="K25" s="488">
        <v>1585.4</v>
      </c>
      <c r="L25" s="488">
        <v>2741.2</v>
      </c>
      <c r="M25" s="488">
        <v>180.6</v>
      </c>
      <c r="N25" s="488">
        <v>0</v>
      </c>
      <c r="O25" s="488">
        <v>0</v>
      </c>
      <c r="P25" s="488">
        <v>186434.2</v>
      </c>
      <c r="Q25" s="488">
        <v>109837.1</v>
      </c>
    </row>
    <row r="26" spans="1:17" s="778" customFormat="1" ht="12.2" customHeight="1">
      <c r="A26" s="1078" t="s">
        <v>601</v>
      </c>
      <c r="B26" s="507">
        <v>327692.7</v>
      </c>
      <c r="C26" s="507">
        <v>562775.19999999995</v>
      </c>
      <c r="D26" s="507">
        <v>1378515.3</v>
      </c>
      <c r="E26" s="507">
        <f t="shared" si="1"/>
        <v>1941290.5</v>
      </c>
      <c r="F26" s="507">
        <v>208030.8</v>
      </c>
      <c r="G26" s="507">
        <v>156374.29999999999</v>
      </c>
      <c r="H26" s="507">
        <v>1258399</v>
      </c>
      <c r="I26" s="507">
        <v>338034.5</v>
      </c>
      <c r="J26" s="507">
        <f t="shared" si="2"/>
        <v>1960838.6</v>
      </c>
      <c r="K26" s="507">
        <v>1664.1</v>
      </c>
      <c r="L26" s="507">
        <v>2716.1</v>
      </c>
      <c r="M26" s="507">
        <v>152.30000000000001</v>
      </c>
      <c r="N26" s="507">
        <v>0</v>
      </c>
      <c r="O26" s="507">
        <v>0</v>
      </c>
      <c r="P26" s="507">
        <v>187607.8</v>
      </c>
      <c r="Q26" s="507">
        <v>116004.3</v>
      </c>
    </row>
    <row r="27" spans="1:17" s="778" customFormat="1" ht="12.2" customHeight="1">
      <c r="A27" s="1077" t="s">
        <v>608</v>
      </c>
      <c r="B27" s="488">
        <v>326538.5</v>
      </c>
      <c r="C27" s="488">
        <v>567473</v>
      </c>
      <c r="D27" s="488">
        <v>1387958.1</v>
      </c>
      <c r="E27" s="488">
        <f t="shared" si="1"/>
        <v>1955431.1</v>
      </c>
      <c r="F27" s="488">
        <v>204300.9</v>
      </c>
      <c r="G27" s="488">
        <v>158697.70000000001</v>
      </c>
      <c r="H27" s="488">
        <v>1267941.7</v>
      </c>
      <c r="I27" s="488">
        <v>338909.1</v>
      </c>
      <c r="J27" s="488">
        <f t="shared" si="2"/>
        <v>1969849.4</v>
      </c>
      <c r="K27" s="488">
        <v>1534.5</v>
      </c>
      <c r="L27" s="488">
        <v>3118.6</v>
      </c>
      <c r="M27" s="488">
        <v>219.5</v>
      </c>
      <c r="N27" s="488">
        <v>0</v>
      </c>
      <c r="O27" s="488">
        <v>0</v>
      </c>
      <c r="P27" s="488">
        <v>189341.3</v>
      </c>
      <c r="Q27" s="488">
        <v>117905.8</v>
      </c>
    </row>
    <row r="28" spans="1:17" s="778" customFormat="1" ht="12.2" customHeight="1">
      <c r="A28" s="1078" t="s">
        <v>609</v>
      </c>
      <c r="B28" s="507">
        <v>314277.90000000002</v>
      </c>
      <c r="C28" s="507">
        <v>577140</v>
      </c>
      <c r="D28" s="507">
        <v>1405314</v>
      </c>
      <c r="E28" s="507">
        <f t="shared" ref="E28:E40" si="4">C28+D28</f>
        <v>1982454</v>
      </c>
      <c r="F28" s="507">
        <v>206695.7</v>
      </c>
      <c r="G28" s="507">
        <v>159863.29999999999</v>
      </c>
      <c r="H28" s="507">
        <v>1273348.3999999999</v>
      </c>
      <c r="I28" s="507">
        <v>339683.3</v>
      </c>
      <c r="J28" s="507">
        <f t="shared" si="2"/>
        <v>1979590.7</v>
      </c>
      <c r="K28" s="507">
        <v>1667.8</v>
      </c>
      <c r="L28" s="507">
        <v>2817.6</v>
      </c>
      <c r="M28" s="507">
        <v>217.7</v>
      </c>
      <c r="N28" s="507">
        <v>0</v>
      </c>
      <c r="O28" s="507">
        <v>0</v>
      </c>
      <c r="P28" s="507">
        <v>189875.1</v>
      </c>
      <c r="Q28" s="507">
        <v>122563</v>
      </c>
    </row>
    <row r="29" spans="1:17" s="778" customFormat="1" ht="12.2" customHeight="1">
      <c r="A29" s="1077" t="s">
        <v>602</v>
      </c>
      <c r="B29" s="488">
        <v>316672.7</v>
      </c>
      <c r="C29" s="488">
        <v>570699.69999999995</v>
      </c>
      <c r="D29" s="488">
        <v>1434086.7</v>
      </c>
      <c r="E29" s="488">
        <f t="shared" si="4"/>
        <v>2004786.4</v>
      </c>
      <c r="F29" s="488">
        <v>209115.4</v>
      </c>
      <c r="G29" s="488">
        <v>168738.7</v>
      </c>
      <c r="H29" s="488">
        <v>1280582.3</v>
      </c>
      <c r="I29" s="488">
        <v>339359.1</v>
      </c>
      <c r="J29" s="488">
        <f t="shared" si="2"/>
        <v>1997795.5</v>
      </c>
      <c r="K29" s="488">
        <v>1472</v>
      </c>
      <c r="L29" s="488">
        <v>3034.2</v>
      </c>
      <c r="M29" s="488">
        <v>281.5</v>
      </c>
      <c r="N29" s="488">
        <v>0</v>
      </c>
      <c r="O29" s="488">
        <v>0</v>
      </c>
      <c r="P29" s="488">
        <v>198589.2</v>
      </c>
      <c r="Q29" s="488">
        <v>120286.7</v>
      </c>
    </row>
    <row r="30" spans="1:17" s="778" customFormat="1" ht="12.2" customHeight="1">
      <c r="A30" s="1078" t="s">
        <v>610</v>
      </c>
      <c r="B30" s="507">
        <v>311412</v>
      </c>
      <c r="C30" s="507">
        <v>571027.30000000005</v>
      </c>
      <c r="D30" s="507">
        <v>1440436.2</v>
      </c>
      <c r="E30" s="507">
        <f t="shared" si="4"/>
        <v>2011463.5</v>
      </c>
      <c r="F30" s="507">
        <v>210156.79999999999</v>
      </c>
      <c r="G30" s="507">
        <v>161356.5</v>
      </c>
      <c r="H30" s="507">
        <v>1280546.3999999999</v>
      </c>
      <c r="I30" s="507">
        <v>342059.7</v>
      </c>
      <c r="J30" s="507">
        <f t="shared" si="2"/>
        <v>1994119.4</v>
      </c>
      <c r="K30" s="507">
        <v>1887.4</v>
      </c>
      <c r="L30" s="507">
        <v>2995.9</v>
      </c>
      <c r="M30" s="507">
        <v>290.60000000000002</v>
      </c>
      <c r="N30" s="507">
        <v>0</v>
      </c>
      <c r="O30" s="507">
        <v>0</v>
      </c>
      <c r="P30" s="507">
        <v>184327.5</v>
      </c>
      <c r="Q30" s="507">
        <v>139254.39999999999</v>
      </c>
    </row>
    <row r="31" spans="1:17" s="778" customFormat="1" ht="12.2" customHeight="1">
      <c r="A31" s="1077" t="s">
        <v>611</v>
      </c>
      <c r="B31" s="488">
        <v>307536.7</v>
      </c>
      <c r="C31" s="488">
        <v>573512.30000000005</v>
      </c>
      <c r="D31" s="488">
        <v>1455201.2</v>
      </c>
      <c r="E31" s="488">
        <f t="shared" si="4"/>
        <v>2028713.5</v>
      </c>
      <c r="F31" s="488">
        <v>210642.7</v>
      </c>
      <c r="G31" s="488">
        <v>159360.79999999999</v>
      </c>
      <c r="H31" s="488">
        <v>1289952.3999999999</v>
      </c>
      <c r="I31" s="488">
        <v>344654.6</v>
      </c>
      <c r="J31" s="488">
        <f t="shared" si="2"/>
        <v>2004610.5</v>
      </c>
      <c r="K31" s="488">
        <v>1766.1</v>
      </c>
      <c r="L31" s="488">
        <v>2990.7</v>
      </c>
      <c r="M31" s="488">
        <v>312.60000000000002</v>
      </c>
      <c r="N31" s="488">
        <v>0</v>
      </c>
      <c r="O31" s="488">
        <v>0</v>
      </c>
      <c r="P31" s="488">
        <v>187083.4</v>
      </c>
      <c r="Q31" s="488">
        <v>139486.6</v>
      </c>
    </row>
    <row r="32" spans="1:17" s="778" customFormat="1" ht="12.2" customHeight="1">
      <c r="A32" s="1078" t="s">
        <v>603</v>
      </c>
      <c r="B32" s="507">
        <v>301040</v>
      </c>
      <c r="C32" s="507">
        <v>579903.80000000005</v>
      </c>
      <c r="D32" s="507">
        <v>1468552.2</v>
      </c>
      <c r="E32" s="507">
        <f t="shared" si="4"/>
        <v>2048456</v>
      </c>
      <c r="F32" s="507">
        <v>211049.2</v>
      </c>
      <c r="G32" s="507">
        <v>162818.29999999999</v>
      </c>
      <c r="H32" s="507">
        <v>1295252.3</v>
      </c>
      <c r="I32" s="507">
        <v>346631.2</v>
      </c>
      <c r="J32" s="507">
        <f t="shared" si="2"/>
        <v>2015751</v>
      </c>
      <c r="K32" s="507">
        <v>1371.4</v>
      </c>
      <c r="L32" s="507">
        <v>3027.6</v>
      </c>
      <c r="M32" s="507">
        <v>286.10000000000002</v>
      </c>
      <c r="N32" s="507">
        <v>0</v>
      </c>
      <c r="O32" s="507">
        <v>0</v>
      </c>
      <c r="P32" s="507">
        <v>187317.4</v>
      </c>
      <c r="Q32" s="507">
        <v>141742</v>
      </c>
    </row>
    <row r="33" spans="1:38" s="778" customFormat="1" ht="12.2" customHeight="1">
      <c r="A33" s="1077" t="s">
        <v>612</v>
      </c>
      <c r="B33" s="488">
        <v>295179.59999999998</v>
      </c>
      <c r="C33" s="488">
        <v>599673.69999999995</v>
      </c>
      <c r="D33" s="488">
        <v>1490545.6</v>
      </c>
      <c r="E33" s="488">
        <f t="shared" si="4"/>
        <v>2090219.3</v>
      </c>
      <c r="F33" s="488">
        <v>235145.5</v>
      </c>
      <c r="G33" s="488">
        <v>166555.20000000001</v>
      </c>
      <c r="H33" s="488">
        <v>1302391.3999999999</v>
      </c>
      <c r="I33" s="488">
        <v>347784.8</v>
      </c>
      <c r="J33" s="488">
        <f t="shared" si="2"/>
        <v>2051876.9</v>
      </c>
      <c r="K33" s="488">
        <v>1400.7</v>
      </c>
      <c r="L33" s="488">
        <v>3015.1</v>
      </c>
      <c r="M33" s="488">
        <v>360.1</v>
      </c>
      <c r="N33" s="488">
        <v>0</v>
      </c>
      <c r="O33" s="488">
        <v>0</v>
      </c>
      <c r="P33" s="488">
        <v>184524.4</v>
      </c>
      <c r="Q33" s="488">
        <v>144221.20000000001</v>
      </c>
    </row>
    <row r="34" spans="1:38" s="778" customFormat="1" ht="12.2" customHeight="1">
      <c r="A34" s="1078" t="s">
        <v>613</v>
      </c>
      <c r="B34" s="507">
        <v>297616</v>
      </c>
      <c r="C34" s="507">
        <v>596675.5</v>
      </c>
      <c r="D34" s="507">
        <v>1508722.2</v>
      </c>
      <c r="E34" s="507">
        <f t="shared" si="4"/>
        <v>2105397.7000000002</v>
      </c>
      <c r="F34" s="507">
        <v>223490.8</v>
      </c>
      <c r="G34" s="507">
        <v>169461.8</v>
      </c>
      <c r="H34" s="507">
        <v>1311306.6000000001</v>
      </c>
      <c r="I34" s="507">
        <v>348540.1</v>
      </c>
      <c r="J34" s="507">
        <f t="shared" si="2"/>
        <v>2052799.3000000003</v>
      </c>
      <c r="K34" s="507">
        <v>2091.6</v>
      </c>
      <c r="L34" s="507">
        <v>3000.8</v>
      </c>
      <c r="M34" s="507">
        <v>316.3</v>
      </c>
      <c r="N34" s="507">
        <v>0</v>
      </c>
      <c r="O34" s="507">
        <v>0</v>
      </c>
      <c r="P34" s="507">
        <v>197736</v>
      </c>
      <c r="Q34" s="507">
        <v>147069</v>
      </c>
    </row>
    <row r="35" spans="1:38" s="778" customFormat="1" ht="12.2" customHeight="1">
      <c r="A35" s="1077" t="s">
        <v>604</v>
      </c>
      <c r="B35" s="488">
        <v>304447.5</v>
      </c>
      <c r="C35" s="488">
        <v>631729.80000000005</v>
      </c>
      <c r="D35" s="488">
        <v>1539232.5</v>
      </c>
      <c r="E35" s="488">
        <f t="shared" si="4"/>
        <v>2170962.2999999998</v>
      </c>
      <c r="F35" s="488">
        <v>234783</v>
      </c>
      <c r="G35" s="488">
        <v>189735</v>
      </c>
      <c r="H35" s="488">
        <v>1324229.7</v>
      </c>
      <c r="I35" s="488">
        <v>350604.9</v>
      </c>
      <c r="J35" s="488">
        <f>F35+G35+H35+I35</f>
        <v>2099352.6</v>
      </c>
      <c r="K35" s="488">
        <v>1590.4</v>
      </c>
      <c r="L35" s="488">
        <v>3021</v>
      </c>
      <c r="M35" s="488">
        <v>350.8</v>
      </c>
      <c r="N35" s="488">
        <v>0</v>
      </c>
      <c r="O35" s="488">
        <v>0</v>
      </c>
      <c r="P35" s="488">
        <v>206528.8</v>
      </c>
      <c r="Q35" s="488">
        <v>164566.1</v>
      </c>
    </row>
    <row r="36" spans="1:38" s="778" customFormat="1" ht="12.2" customHeight="1">
      <c r="A36" s="1076" t="s">
        <v>2551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</row>
    <row r="37" spans="1:38" s="778" customFormat="1" ht="12.2" customHeight="1">
      <c r="A37" s="1077" t="s">
        <v>606</v>
      </c>
      <c r="B37" s="488">
        <v>297631.3</v>
      </c>
      <c r="C37" s="488">
        <v>632451.6</v>
      </c>
      <c r="D37" s="488">
        <v>1543105.5</v>
      </c>
      <c r="E37" s="488">
        <f>C37+D37</f>
        <v>2175557.1</v>
      </c>
      <c r="F37" s="488">
        <v>240348.5</v>
      </c>
      <c r="G37" s="488">
        <v>180626.8</v>
      </c>
      <c r="H37" s="488">
        <v>1328217.7</v>
      </c>
      <c r="I37" s="488">
        <v>351039.4</v>
      </c>
      <c r="J37" s="488">
        <f>F37+G37+H37+I37</f>
        <v>2100232.4</v>
      </c>
      <c r="K37" s="488">
        <v>2255.9</v>
      </c>
      <c r="L37" s="488">
        <v>2982.4</v>
      </c>
      <c r="M37" s="488">
        <v>350</v>
      </c>
      <c r="N37" s="488">
        <v>0</v>
      </c>
      <c r="O37" s="488">
        <v>0</v>
      </c>
      <c r="P37" s="488">
        <v>213112.8</v>
      </c>
      <c r="Q37" s="488">
        <v>154254.70000000001</v>
      </c>
    </row>
    <row r="38" spans="1:38" s="778" customFormat="1" ht="12.2" customHeight="1">
      <c r="A38" s="1078" t="s">
        <v>607</v>
      </c>
      <c r="B38" s="507">
        <v>282784.59999999998</v>
      </c>
      <c r="C38" s="507">
        <v>639377.1</v>
      </c>
      <c r="D38" s="507">
        <v>1552956.9</v>
      </c>
      <c r="E38" s="507">
        <f t="shared" si="4"/>
        <v>2192334</v>
      </c>
      <c r="F38" s="507">
        <v>240188.1</v>
      </c>
      <c r="G38" s="507">
        <v>177147.4</v>
      </c>
      <c r="H38" s="507">
        <v>1335603.5</v>
      </c>
      <c r="I38" s="507">
        <v>351219.7</v>
      </c>
      <c r="J38" s="507">
        <f t="shared" si="2"/>
        <v>2104158.7000000002</v>
      </c>
      <c r="K38" s="507">
        <v>2231.1999999999998</v>
      </c>
      <c r="L38" s="507">
        <v>2833.3</v>
      </c>
      <c r="M38" s="507">
        <v>349.9</v>
      </c>
      <c r="N38" s="507">
        <v>0</v>
      </c>
      <c r="O38" s="507">
        <v>0</v>
      </c>
      <c r="P38" s="507">
        <v>214757.1</v>
      </c>
      <c r="Q38" s="507">
        <v>150787.9</v>
      </c>
    </row>
    <row r="39" spans="1:38" s="778" customFormat="1" ht="12.2" customHeight="1">
      <c r="A39" s="1077" t="s">
        <v>601</v>
      </c>
      <c r="B39" s="488">
        <v>279452.09999999998</v>
      </c>
      <c r="C39" s="488">
        <v>643380.1</v>
      </c>
      <c r="D39" s="488">
        <v>1570530.1</v>
      </c>
      <c r="E39" s="488">
        <f t="shared" si="4"/>
        <v>2213910.2000000002</v>
      </c>
      <c r="F39" s="488">
        <v>238302</v>
      </c>
      <c r="G39" s="488">
        <v>179326.6</v>
      </c>
      <c r="H39" s="488">
        <v>1347573.2</v>
      </c>
      <c r="I39" s="488">
        <v>351320.3</v>
      </c>
      <c r="J39" s="488">
        <f t="shared" si="2"/>
        <v>2116522.0999999996</v>
      </c>
      <c r="K39" s="488">
        <v>2164.1</v>
      </c>
      <c r="L39" s="488">
        <v>2790.8</v>
      </c>
      <c r="M39" s="488">
        <v>226.8</v>
      </c>
      <c r="N39" s="488">
        <v>0</v>
      </c>
      <c r="O39" s="488">
        <v>0</v>
      </c>
      <c r="P39" s="488">
        <v>216724.6</v>
      </c>
      <c r="Q39" s="488">
        <v>154933.70000000001</v>
      </c>
    </row>
    <row r="40" spans="1:38" s="778" customFormat="1" ht="12.2" customHeight="1" thickBot="1">
      <c r="A40" s="1697" t="s">
        <v>608</v>
      </c>
      <c r="B40" s="1689">
        <v>270630.59999999998</v>
      </c>
      <c r="C40" s="1689">
        <v>655006.19999999995</v>
      </c>
      <c r="D40" s="1689">
        <v>1582792.2</v>
      </c>
      <c r="E40" s="1689">
        <f t="shared" si="4"/>
        <v>2237798.3999999999</v>
      </c>
      <c r="F40" s="1689">
        <v>234409.4</v>
      </c>
      <c r="G40" s="1689">
        <v>179184.8</v>
      </c>
      <c r="H40" s="1689">
        <v>1352444.7</v>
      </c>
      <c r="I40" s="1689">
        <v>350456.3</v>
      </c>
      <c r="J40" s="1689">
        <f t="shared" si="2"/>
        <v>2116495.1999999997</v>
      </c>
      <c r="K40" s="1689">
        <v>2266.9</v>
      </c>
      <c r="L40" s="1689">
        <v>2712.5</v>
      </c>
      <c r="M40" s="1689">
        <v>361.6</v>
      </c>
      <c r="N40" s="1689">
        <v>0</v>
      </c>
      <c r="O40" s="1689">
        <v>0</v>
      </c>
      <c r="P40" s="1689">
        <v>224630.2</v>
      </c>
      <c r="Q40" s="1689">
        <v>161962.70000000001</v>
      </c>
    </row>
    <row r="41" spans="1:38" ht="16.5" customHeight="1">
      <c r="A41" s="772" t="s">
        <v>1510</v>
      </c>
      <c r="B41" s="773" t="s">
        <v>1366</v>
      </c>
      <c r="G41" s="778" t="s">
        <v>1469</v>
      </c>
      <c r="I41" s="1356"/>
      <c r="J41" s="783"/>
      <c r="K41" s="783"/>
      <c r="L41" s="1436"/>
      <c r="M41" s="1436"/>
      <c r="N41" s="783"/>
      <c r="O41" s="1436"/>
      <c r="P41" s="783"/>
      <c r="Q41" s="1357"/>
      <c r="R41" s="1293"/>
    </row>
    <row r="42" spans="1:38" ht="14.25" customHeight="1">
      <c r="B42" s="1435"/>
      <c r="C42" s="1387"/>
      <c r="D42" s="1435"/>
      <c r="E42" s="1435"/>
      <c r="F42" s="1387"/>
      <c r="G42" s="1387"/>
      <c r="H42" s="1387"/>
      <c r="I42" s="778"/>
      <c r="J42" s="1387"/>
      <c r="K42" s="1372"/>
      <c r="L42" s="1372"/>
      <c r="M42" s="1372"/>
      <c r="N42" s="1372"/>
      <c r="O42" s="1436"/>
      <c r="P42" s="779"/>
      <c r="Q42" s="779"/>
      <c r="R42" s="1293"/>
    </row>
    <row r="43" spans="1:38" ht="14.25" customHeight="1">
      <c r="A43" s="1435"/>
      <c r="B43" s="1435"/>
      <c r="C43" s="1513"/>
      <c r="D43" s="1435"/>
      <c r="E43" s="1435"/>
      <c r="F43" s="1515"/>
      <c r="G43" s="1515"/>
      <c r="H43" s="1515"/>
      <c r="I43" s="1516"/>
      <c r="J43" s="1517"/>
      <c r="K43" s="1372"/>
      <c r="L43" s="1372"/>
      <c r="M43" s="1372"/>
      <c r="N43" s="1372"/>
      <c r="O43" s="1436"/>
      <c r="P43" s="1516"/>
      <c r="Q43" s="1518"/>
      <c r="R43" s="1293"/>
      <c r="S43" s="1498"/>
      <c r="T43" s="1498"/>
      <c r="U43" s="1498"/>
      <c r="V43" s="1498"/>
      <c r="W43" s="1498"/>
      <c r="X43" s="1498"/>
      <c r="Y43" s="1498"/>
      <c r="Z43" s="1498"/>
      <c r="AA43" s="1498"/>
      <c r="AB43" s="1498"/>
      <c r="AC43" s="1498"/>
      <c r="AD43" s="1498"/>
      <c r="AE43" s="1498"/>
      <c r="AF43" s="1498"/>
      <c r="AG43" s="1498"/>
      <c r="AH43" s="1498"/>
      <c r="AI43" s="1498"/>
      <c r="AJ43" s="1498"/>
      <c r="AK43" s="1498"/>
      <c r="AL43" s="1498"/>
    </row>
    <row r="44" spans="1:38">
      <c r="A44" s="1435"/>
      <c r="B44" s="1435"/>
      <c r="C44" s="1513"/>
      <c r="D44" s="1435"/>
      <c r="E44" s="1435"/>
      <c r="F44" s="1515"/>
      <c r="G44" s="1515"/>
      <c r="H44" s="1515"/>
      <c r="I44" s="1516"/>
      <c r="J44" s="1517"/>
      <c r="K44" s="1372"/>
      <c r="L44" s="1372"/>
      <c r="M44" s="1372"/>
      <c r="N44" s="1372"/>
      <c r="O44" s="1436"/>
      <c r="P44" s="1516"/>
      <c r="Q44" s="1516"/>
      <c r="R44" s="1293"/>
      <c r="S44" s="1498"/>
      <c r="T44" s="1498"/>
      <c r="U44" s="1498"/>
      <c r="V44" s="1498"/>
      <c r="W44" s="1498"/>
      <c r="X44" s="1498"/>
      <c r="Y44" s="1498"/>
      <c r="Z44" s="1498"/>
      <c r="AA44" s="1498"/>
      <c r="AB44" s="1498"/>
      <c r="AC44" s="1498"/>
      <c r="AD44" s="1498"/>
      <c r="AE44" s="1498"/>
      <c r="AF44" s="1498"/>
      <c r="AG44" s="1498"/>
      <c r="AH44" s="1498"/>
      <c r="AI44" s="1498"/>
      <c r="AJ44" s="1498"/>
      <c r="AK44" s="1498"/>
      <c r="AL44" s="1498"/>
    </row>
    <row r="45" spans="1:38">
      <c r="A45" s="1435"/>
      <c r="B45" s="1435"/>
      <c r="C45" s="1513"/>
      <c r="D45" s="1435"/>
      <c r="E45" s="1435"/>
      <c r="F45" s="1515"/>
      <c r="G45" s="1515"/>
      <c r="H45" s="1515"/>
      <c r="I45" s="1515"/>
      <c r="J45" s="1517"/>
      <c r="K45" s="1372"/>
      <c r="L45" s="1372"/>
      <c r="M45" s="1372"/>
      <c r="N45" s="1372"/>
      <c r="O45" s="1436"/>
      <c r="P45" s="1515"/>
      <c r="Q45" s="1515"/>
      <c r="R45" s="1515"/>
      <c r="S45" s="1387"/>
      <c r="T45" s="1387"/>
      <c r="U45" s="1387"/>
      <c r="V45" s="1387"/>
      <c r="W45" s="1387"/>
      <c r="X45" s="1387"/>
      <c r="Y45" s="1387"/>
      <c r="Z45" s="1387"/>
      <c r="AA45" s="1387"/>
      <c r="AB45" s="1387"/>
      <c r="AC45" s="1387"/>
      <c r="AD45" s="1387"/>
      <c r="AE45" s="1387"/>
      <c r="AF45" s="1387"/>
      <c r="AG45" s="1387"/>
      <c r="AH45" s="1387"/>
      <c r="AI45" s="1387"/>
      <c r="AJ45" s="1387"/>
      <c r="AK45" s="1387"/>
      <c r="AL45" s="1387"/>
    </row>
    <row r="46" spans="1:38">
      <c r="A46" s="1435"/>
      <c r="B46" s="1435"/>
      <c r="C46" s="1513"/>
      <c r="D46" s="1435"/>
      <c r="E46" s="1435"/>
      <c r="F46" s="1515"/>
      <c r="G46" s="1515"/>
      <c r="H46" s="1515"/>
      <c r="I46" s="1515"/>
      <c r="J46" s="1517"/>
      <c r="K46" s="1372"/>
      <c r="L46" s="1372"/>
      <c r="M46" s="1372"/>
      <c r="N46" s="1372"/>
      <c r="O46" s="1436"/>
      <c r="P46" s="1515"/>
      <c r="Q46" s="1515"/>
      <c r="R46" s="1515"/>
      <c r="S46" s="1435"/>
      <c r="T46" s="1435"/>
      <c r="U46" s="1435"/>
      <c r="V46" s="1435"/>
      <c r="W46" s="1435"/>
      <c r="X46" s="1435"/>
      <c r="Y46" s="1435"/>
      <c r="Z46" s="1435"/>
      <c r="AA46" s="1435"/>
      <c r="AB46" s="1435"/>
      <c r="AC46" s="1435"/>
      <c r="AD46" s="1435"/>
      <c r="AE46" s="1435"/>
      <c r="AF46" s="1435"/>
      <c r="AG46" s="1435"/>
      <c r="AH46" s="1435"/>
      <c r="AI46" s="1435"/>
      <c r="AJ46" s="1435"/>
      <c r="AK46" s="1435"/>
      <c r="AL46" s="1435"/>
    </row>
    <row r="47" spans="1:38">
      <c r="A47" s="1435"/>
      <c r="B47" s="1435"/>
      <c r="C47" s="1513"/>
      <c r="D47" s="1435"/>
      <c r="E47" s="1435"/>
      <c r="F47" s="1515"/>
      <c r="G47" s="1519"/>
      <c r="H47" s="1519"/>
      <c r="I47" s="1516"/>
      <c r="J47" s="1517"/>
      <c r="K47" s="1372"/>
      <c r="L47" s="1372"/>
      <c r="M47" s="1372"/>
      <c r="N47" s="1372"/>
      <c r="O47" s="1436"/>
      <c r="P47" s="1515"/>
      <c r="Q47" s="1515"/>
      <c r="R47" s="1516"/>
    </row>
    <row r="48" spans="1:38">
      <c r="A48" s="1435"/>
      <c r="B48" s="1435"/>
      <c r="C48" s="1513"/>
      <c r="D48" s="1435"/>
      <c r="E48" s="1435"/>
      <c r="F48" s="1515"/>
      <c r="G48" s="1516"/>
      <c r="H48" s="1516"/>
      <c r="I48" s="1516"/>
      <c r="J48" s="1517"/>
      <c r="K48" s="1372"/>
      <c r="L48" s="1372"/>
      <c r="M48" s="1372"/>
      <c r="N48" s="1372"/>
      <c r="O48" s="1436"/>
      <c r="P48" s="1516"/>
      <c r="Q48" s="1516"/>
      <c r="R48" s="1516"/>
    </row>
    <row r="49" spans="1:18">
      <c r="A49" s="1435"/>
      <c r="B49" s="1435"/>
      <c r="C49" s="1513"/>
      <c r="D49" s="1435"/>
      <c r="E49" s="1435"/>
      <c r="F49" s="1515"/>
      <c r="G49" s="1515"/>
      <c r="H49" s="1515"/>
      <c r="I49" s="1516"/>
      <c r="J49" s="1517"/>
      <c r="K49" s="1372"/>
      <c r="L49" s="1372"/>
      <c r="M49" s="1372"/>
      <c r="N49" s="1372"/>
      <c r="O49" s="1436"/>
      <c r="P49" s="1515"/>
      <c r="Q49" s="1515"/>
      <c r="R49" s="1516"/>
    </row>
    <row r="50" spans="1:18">
      <c r="A50" s="1435"/>
      <c r="B50" s="1435"/>
      <c r="C50" s="1513"/>
      <c r="D50" s="1435"/>
      <c r="E50" s="1435"/>
      <c r="F50" s="1515"/>
      <c r="G50" s="1515"/>
      <c r="H50" s="1515"/>
      <c r="I50" s="1516"/>
      <c r="J50" s="1517"/>
      <c r="K50" s="1372"/>
      <c r="L50" s="1372"/>
      <c r="M50" s="1372"/>
      <c r="N50" s="1372"/>
      <c r="O50" s="1436"/>
      <c r="P50" s="1515"/>
      <c r="Q50" s="1515"/>
      <c r="R50" s="1516"/>
    </row>
    <row r="51" spans="1:18">
      <c r="A51" s="1435"/>
      <c r="B51" s="1435"/>
      <c r="C51" s="1496"/>
      <c r="D51" s="1435"/>
      <c r="E51" s="1435"/>
      <c r="F51" s="1515"/>
      <c r="G51" s="1516"/>
      <c r="H51" s="1516"/>
      <c r="I51" s="1516"/>
      <c r="J51" s="1517"/>
      <c r="K51" s="1372"/>
      <c r="L51" s="1372"/>
      <c r="M51" s="1372"/>
      <c r="N51" s="1372"/>
      <c r="O51" s="1436"/>
      <c r="P51" s="1516"/>
      <c r="Q51" s="1516"/>
      <c r="R51" s="1516"/>
    </row>
    <row r="52" spans="1:18">
      <c r="A52" s="1435"/>
      <c r="B52" s="1435"/>
      <c r="C52" s="1496"/>
      <c r="D52" s="1435"/>
      <c r="E52" s="1435"/>
      <c r="F52" s="1515"/>
      <c r="G52" s="1516"/>
      <c r="H52" s="1516"/>
      <c r="I52" s="1516"/>
      <c r="J52" s="1517"/>
      <c r="K52" s="1372"/>
      <c r="L52" s="1372"/>
      <c r="M52" s="1372"/>
      <c r="N52" s="1372"/>
      <c r="O52" s="1436"/>
      <c r="P52" s="1516"/>
      <c r="Q52" s="1516"/>
      <c r="R52" s="1516"/>
    </row>
    <row r="53" spans="1:18">
      <c r="A53" s="1435"/>
      <c r="B53" s="1435"/>
      <c r="C53" s="1496"/>
      <c r="D53" s="1435"/>
      <c r="E53" s="1435"/>
      <c r="F53" s="1515"/>
      <c r="G53" s="1516"/>
      <c r="H53" s="1516"/>
      <c r="I53" s="1516"/>
      <c r="J53" s="1517"/>
      <c r="K53" s="1372"/>
      <c r="L53" s="1372"/>
      <c r="M53" s="1372"/>
      <c r="N53" s="1372"/>
      <c r="O53" s="1436"/>
      <c r="P53" s="1516"/>
      <c r="Q53" s="1516"/>
      <c r="R53" s="1516"/>
    </row>
    <row r="54" spans="1:18">
      <c r="A54" s="1435"/>
      <c r="B54" s="1435"/>
      <c r="C54" s="1496"/>
      <c r="D54" s="1435"/>
      <c r="E54" s="1435"/>
      <c r="F54" s="1516"/>
      <c r="G54" s="1516"/>
      <c r="H54" s="1516"/>
      <c r="I54" s="1516"/>
      <c r="J54" s="1517"/>
      <c r="K54" s="1372"/>
      <c r="L54" s="1372"/>
      <c r="M54" s="1372"/>
      <c r="N54" s="1372"/>
      <c r="O54" s="1436"/>
      <c r="P54" s="1516"/>
      <c r="Q54" s="1516"/>
      <c r="R54" s="1516"/>
    </row>
    <row r="55" spans="1:18">
      <c r="A55" s="1435"/>
      <c r="B55" s="1435"/>
      <c r="C55" s="1498"/>
      <c r="D55" s="1435"/>
      <c r="E55" s="1293"/>
      <c r="F55" s="1516"/>
      <c r="G55" s="1516"/>
      <c r="H55" s="1516"/>
      <c r="I55" s="1516"/>
      <c r="J55" s="1517"/>
      <c r="K55" s="1372"/>
      <c r="L55" s="1372"/>
      <c r="M55" s="1372"/>
      <c r="N55" s="1372"/>
      <c r="O55" s="1436"/>
      <c r="P55" s="1516"/>
      <c r="Q55" s="1516"/>
      <c r="R55" s="1516"/>
    </row>
    <row r="56" spans="1:18">
      <c r="A56" s="1435"/>
      <c r="B56" s="1435"/>
      <c r="C56" s="1498"/>
      <c r="D56" s="1435"/>
      <c r="E56" s="1293"/>
      <c r="F56" s="1516"/>
      <c r="G56" s="1516"/>
      <c r="H56" s="1516"/>
      <c r="I56" s="1516"/>
      <c r="J56" s="1517"/>
      <c r="K56" s="1372"/>
      <c r="L56" s="1372"/>
      <c r="M56" s="1372"/>
      <c r="N56" s="1372"/>
      <c r="O56" s="1436"/>
      <c r="P56" s="1520"/>
      <c r="Q56" s="1520"/>
      <c r="R56" s="1520"/>
    </row>
    <row r="57" spans="1:18">
      <c r="A57" s="1435"/>
      <c r="B57" s="1435"/>
      <c r="C57" s="1498"/>
      <c r="D57" s="1435"/>
      <c r="E57" s="1293"/>
      <c r="F57" s="1516"/>
      <c r="G57" s="1516"/>
      <c r="H57" s="1516"/>
      <c r="I57" s="1516"/>
      <c r="J57" s="1517"/>
      <c r="K57" s="1372"/>
      <c r="L57" s="1372"/>
      <c r="M57" s="1372"/>
      <c r="N57" s="1372"/>
      <c r="O57" s="1436"/>
      <c r="P57" s="1520"/>
      <c r="Q57" s="1520"/>
      <c r="R57" s="1520"/>
    </row>
    <row r="58" spans="1:18">
      <c r="A58" s="1435"/>
      <c r="B58" s="1435"/>
      <c r="C58" s="1498"/>
      <c r="D58" s="1435"/>
      <c r="E58" s="1293"/>
      <c r="F58" s="1516"/>
      <c r="G58" s="1516"/>
      <c r="H58" s="1516"/>
      <c r="I58" s="1516"/>
      <c r="J58" s="1517"/>
      <c r="K58" s="1372"/>
      <c r="L58" s="1372"/>
      <c r="M58" s="1372"/>
      <c r="N58" s="1372"/>
      <c r="O58" s="1436"/>
      <c r="P58" s="1520"/>
      <c r="Q58" s="1520"/>
      <c r="R58" s="1520"/>
    </row>
    <row r="59" spans="1:18">
      <c r="A59" s="1435"/>
      <c r="B59" s="1435"/>
      <c r="C59" s="1498"/>
      <c r="D59" s="1435"/>
      <c r="E59" s="1293"/>
      <c r="F59" s="1516"/>
      <c r="G59" s="1516"/>
      <c r="H59" s="1516"/>
      <c r="I59" s="1516"/>
      <c r="J59" s="1517"/>
      <c r="K59" s="1372"/>
      <c r="L59" s="1372"/>
      <c r="M59" s="1372"/>
      <c r="N59" s="1372"/>
      <c r="O59" s="1436"/>
      <c r="P59" s="1520"/>
      <c r="Q59" s="1520"/>
      <c r="R59" s="1520"/>
    </row>
    <row r="60" spans="1:18">
      <c r="A60" s="1435"/>
      <c r="B60" s="1435"/>
      <c r="C60" s="1498"/>
      <c r="D60" s="1435"/>
      <c r="E60" s="1293"/>
      <c r="F60" s="1516"/>
      <c r="G60" s="1516"/>
      <c r="H60" s="1516"/>
      <c r="I60" s="1516"/>
      <c r="J60" s="1517"/>
      <c r="K60" s="1372"/>
      <c r="L60" s="1372"/>
      <c r="M60" s="1372"/>
      <c r="N60" s="1372"/>
      <c r="O60" s="1436"/>
      <c r="P60" s="1520"/>
      <c r="Q60" s="1520"/>
      <c r="R60" s="1520"/>
    </row>
    <row r="61" spans="1:18">
      <c r="A61" s="1435"/>
      <c r="B61" s="1435"/>
      <c r="C61" s="1498"/>
      <c r="D61" s="1435"/>
      <c r="E61" s="1293"/>
      <c r="F61" s="1516"/>
      <c r="G61" s="1516"/>
      <c r="H61" s="1516"/>
      <c r="I61" s="1516"/>
      <c r="J61" s="1517"/>
      <c r="K61" s="1372"/>
      <c r="L61" s="1372"/>
      <c r="M61" s="1372"/>
      <c r="N61" s="1372"/>
      <c r="O61" s="1436"/>
      <c r="P61" s="1520"/>
      <c r="Q61" s="1520"/>
      <c r="R61" s="1520"/>
    </row>
    <row r="62" spans="1:18">
      <c r="A62" s="1435"/>
      <c r="B62" s="1435"/>
      <c r="C62" s="1498"/>
      <c r="D62" s="1435"/>
      <c r="E62" s="1293"/>
      <c r="F62" s="1516"/>
      <c r="G62" s="1516"/>
      <c r="H62" s="1516"/>
      <c r="I62" s="1516"/>
      <c r="J62" s="1517"/>
      <c r="K62" s="1372"/>
      <c r="L62" s="1372"/>
      <c r="M62" s="1372"/>
      <c r="N62" s="1372"/>
      <c r="O62" s="1436"/>
      <c r="P62" s="1520"/>
      <c r="Q62" s="1520"/>
      <c r="R62" s="1520"/>
    </row>
    <row r="63" spans="1:18">
      <c r="A63" s="1435"/>
      <c r="B63" s="1435"/>
      <c r="C63" s="1498"/>
      <c r="D63" s="1435"/>
      <c r="E63" s="1293"/>
      <c r="F63" s="1516"/>
      <c r="G63" s="1516"/>
      <c r="H63" s="1516"/>
      <c r="I63" s="1516"/>
      <c r="J63" s="1517"/>
      <c r="K63" s="1372"/>
      <c r="L63" s="1372"/>
      <c r="M63" s="1372"/>
      <c r="N63" s="1372"/>
      <c r="O63" s="1436"/>
      <c r="P63" s="1520"/>
      <c r="Q63" s="1520"/>
      <c r="R63" s="1520"/>
    </row>
    <row r="64" spans="1:18">
      <c r="A64" s="1435"/>
      <c r="B64" s="1435"/>
      <c r="C64" s="1498"/>
      <c r="D64" s="1435"/>
      <c r="E64" s="1293"/>
      <c r="F64" s="1516"/>
      <c r="G64" s="1516"/>
      <c r="H64" s="1516"/>
      <c r="I64" s="1516"/>
      <c r="J64" s="1517"/>
      <c r="K64" s="1372"/>
      <c r="L64" s="1372"/>
      <c r="M64" s="1372"/>
      <c r="N64" s="1372"/>
      <c r="O64" s="1436"/>
      <c r="P64" s="1520"/>
      <c r="Q64" s="1520"/>
      <c r="R64" s="1520"/>
    </row>
    <row r="65" spans="1:18">
      <c r="A65" s="1435"/>
      <c r="B65" s="1435"/>
      <c r="C65" s="1498"/>
      <c r="D65" s="1435"/>
      <c r="E65" s="1293"/>
      <c r="F65" s="1516"/>
      <c r="G65" s="1516"/>
      <c r="H65" s="1516"/>
      <c r="I65" s="1516"/>
      <c r="J65" s="1517"/>
      <c r="K65" s="1372"/>
      <c r="L65" s="1372"/>
      <c r="M65" s="1372"/>
      <c r="N65" s="1372"/>
      <c r="O65" s="1436"/>
      <c r="P65" s="1520"/>
      <c r="Q65" s="1520"/>
      <c r="R65" s="1520"/>
    </row>
    <row r="66" spans="1:18">
      <c r="A66" s="1435"/>
      <c r="B66" s="1435"/>
      <c r="C66" s="1498"/>
      <c r="D66" s="1435"/>
      <c r="E66" s="1293"/>
      <c r="F66" s="1516"/>
      <c r="G66" s="1516"/>
      <c r="H66" s="1516"/>
      <c r="I66" s="1516"/>
      <c r="J66" s="1517"/>
      <c r="K66" s="1372"/>
      <c r="L66" s="1372"/>
      <c r="M66" s="1372"/>
      <c r="N66" s="1372"/>
      <c r="O66" s="1436"/>
      <c r="P66" s="1520"/>
      <c r="Q66" s="1520"/>
      <c r="R66" s="1520"/>
    </row>
    <row r="67" spans="1:18">
      <c r="A67" s="1435"/>
      <c r="B67" s="1435"/>
      <c r="C67" s="1498"/>
      <c r="D67" s="1435"/>
      <c r="E67" s="1293"/>
      <c r="F67" s="1516"/>
      <c r="G67" s="1516"/>
      <c r="H67" s="1516"/>
      <c r="I67" s="1516"/>
      <c r="J67" s="1517"/>
      <c r="K67" s="1372"/>
      <c r="L67" s="1372"/>
      <c r="M67" s="1372"/>
      <c r="N67" s="1372"/>
      <c r="O67" s="1436"/>
      <c r="P67" s="1520"/>
      <c r="Q67" s="1520"/>
      <c r="R67" s="1520"/>
    </row>
    <row r="68" spans="1:18">
      <c r="A68" s="1435"/>
      <c r="B68" s="1435"/>
      <c r="C68" s="1498"/>
      <c r="D68" s="1435"/>
      <c r="E68" s="1293"/>
      <c r="F68" s="1516"/>
      <c r="G68" s="1516"/>
      <c r="H68" s="1516"/>
      <c r="I68" s="1516"/>
      <c r="J68" s="1517"/>
      <c r="K68" s="1372"/>
      <c r="L68" s="1372"/>
      <c r="M68" s="1372"/>
      <c r="N68" s="1372"/>
      <c r="O68" s="1436"/>
      <c r="P68" s="1520"/>
      <c r="Q68" s="1520"/>
      <c r="R68" s="1520"/>
    </row>
    <row r="69" spans="1:18">
      <c r="A69" s="1435"/>
      <c r="B69" s="1435"/>
      <c r="C69" s="1498"/>
      <c r="D69" s="1435"/>
      <c r="E69" s="1293"/>
      <c r="F69" s="1516"/>
      <c r="G69" s="1516"/>
      <c r="H69" s="1516"/>
      <c r="I69" s="1516"/>
      <c r="J69" s="1517"/>
      <c r="K69" s="1372"/>
      <c r="L69" s="1372"/>
      <c r="M69" s="1372"/>
      <c r="N69" s="1372"/>
      <c r="O69" s="1436"/>
      <c r="P69" s="1520"/>
      <c r="Q69" s="1520"/>
      <c r="R69" s="1520"/>
    </row>
    <row r="70" spans="1:18">
      <c r="A70" s="1435"/>
      <c r="B70" s="1435"/>
      <c r="C70" s="1498"/>
      <c r="D70" s="1435"/>
      <c r="E70" s="1293"/>
      <c r="F70" s="1516"/>
      <c r="G70" s="1516"/>
      <c r="H70" s="1516"/>
      <c r="I70" s="1516"/>
      <c r="J70" s="1517"/>
      <c r="K70" s="1372"/>
      <c r="L70" s="1372"/>
      <c r="M70" s="1372"/>
      <c r="N70" s="1372"/>
      <c r="O70" s="1436"/>
      <c r="P70" s="1520"/>
      <c r="Q70" s="1520"/>
      <c r="R70" s="1520"/>
    </row>
    <row r="71" spans="1:18">
      <c r="A71" s="1435"/>
      <c r="B71" s="1435"/>
      <c r="C71" s="1498"/>
      <c r="D71" s="1435"/>
      <c r="E71" s="1293"/>
      <c r="F71" s="1516"/>
      <c r="G71" s="1516"/>
      <c r="H71" s="1516"/>
      <c r="I71" s="1516"/>
      <c r="J71" s="1517"/>
      <c r="K71" s="1372"/>
      <c r="L71" s="1372"/>
      <c r="M71" s="1372"/>
      <c r="N71" s="1372"/>
      <c r="O71" s="1436"/>
      <c r="P71" s="1520"/>
      <c r="Q71" s="1520"/>
      <c r="R71" s="1520"/>
    </row>
    <row r="72" spans="1:18">
      <c r="A72" s="1435"/>
      <c r="B72" s="1435"/>
      <c r="C72" s="1498"/>
      <c r="D72" s="1435"/>
      <c r="E72" s="1293"/>
      <c r="F72" s="1516"/>
      <c r="G72" s="1516"/>
      <c r="H72" s="1516"/>
      <c r="I72" s="1516"/>
      <c r="J72" s="1517"/>
      <c r="K72" s="1372"/>
      <c r="L72" s="1372"/>
      <c r="M72" s="1372"/>
      <c r="N72" s="1372"/>
      <c r="O72" s="1436"/>
      <c r="P72" s="1520"/>
      <c r="Q72" s="1520"/>
      <c r="R72" s="1520"/>
    </row>
    <row r="73" spans="1:18">
      <c r="A73" s="1435"/>
      <c r="B73" s="1435"/>
      <c r="C73" s="1498"/>
      <c r="D73" s="1435"/>
      <c r="E73" s="1293"/>
      <c r="F73" s="1516"/>
      <c r="G73" s="1516"/>
      <c r="H73" s="1516"/>
      <c r="I73" s="1516"/>
      <c r="J73" s="1517"/>
      <c r="K73" s="1372"/>
      <c r="L73" s="1372"/>
      <c r="M73" s="1372"/>
      <c r="N73" s="1372"/>
      <c r="O73" s="1436"/>
      <c r="P73" s="1520"/>
      <c r="Q73" s="1520"/>
      <c r="R73" s="1520"/>
    </row>
    <row r="74" spans="1:18">
      <c r="A74" s="1435"/>
      <c r="B74" s="1435"/>
      <c r="C74" s="1498"/>
      <c r="D74" s="1435"/>
      <c r="E74" s="1293"/>
      <c r="F74" s="1516"/>
      <c r="G74" s="1516"/>
      <c r="H74" s="1516"/>
      <c r="I74" s="1516"/>
      <c r="J74" s="1517"/>
      <c r="K74" s="1372"/>
      <c r="L74" s="1372"/>
      <c r="M74" s="1372"/>
      <c r="N74" s="1372"/>
      <c r="O74" s="1436"/>
      <c r="P74" s="1520"/>
      <c r="Q74" s="1520"/>
      <c r="R74" s="1520"/>
    </row>
    <row r="75" spans="1:18">
      <c r="A75" s="1435"/>
      <c r="B75" s="1435"/>
      <c r="C75" s="1498"/>
      <c r="D75" s="1435"/>
      <c r="E75" s="1293"/>
      <c r="F75" s="1516"/>
      <c r="G75" s="1516"/>
      <c r="H75" s="1516"/>
      <c r="I75" s="1516"/>
      <c r="J75" s="1517"/>
      <c r="K75" s="1372"/>
      <c r="L75" s="1372"/>
      <c r="M75" s="1372"/>
      <c r="N75" s="1372"/>
      <c r="O75" s="1436"/>
      <c r="P75" s="1520"/>
      <c r="Q75" s="1520"/>
      <c r="R75" s="1520"/>
    </row>
    <row r="76" spans="1:18">
      <c r="A76" s="1435"/>
      <c r="B76" s="1435"/>
      <c r="C76" s="1498"/>
      <c r="D76" s="1435"/>
      <c r="E76" s="1293"/>
      <c r="F76" s="1516"/>
      <c r="G76" s="1516"/>
      <c r="H76" s="1516"/>
      <c r="I76" s="1516"/>
      <c r="J76" s="1517"/>
      <c r="K76" s="1372"/>
      <c r="L76" s="1372"/>
      <c r="M76" s="1372"/>
      <c r="N76" s="1372"/>
      <c r="O76" s="1436"/>
      <c r="P76" s="1520"/>
      <c r="Q76" s="1520"/>
      <c r="R76" s="1520"/>
    </row>
    <row r="77" spans="1:18">
      <c r="A77" s="1435"/>
      <c r="B77" s="1435"/>
      <c r="C77" s="1498"/>
      <c r="D77" s="1435"/>
      <c r="E77" s="1293"/>
      <c r="F77" s="1516"/>
      <c r="G77" s="1516"/>
      <c r="H77" s="1516"/>
      <c r="I77" s="1516"/>
      <c r="J77" s="1517"/>
      <c r="K77" s="1372"/>
      <c r="L77" s="1372"/>
      <c r="M77" s="1372"/>
      <c r="N77" s="1372"/>
      <c r="O77" s="1436"/>
      <c r="P77" s="1520"/>
      <c r="Q77" s="1520"/>
      <c r="R77" s="1520"/>
    </row>
    <row r="78" spans="1:18">
      <c r="A78" s="1435"/>
      <c r="B78" s="1435"/>
      <c r="D78" s="1435"/>
      <c r="E78" s="1293"/>
      <c r="F78" s="1516"/>
      <c r="G78" s="1516"/>
      <c r="H78" s="1516"/>
      <c r="I78" s="1516"/>
      <c r="J78" s="1517"/>
      <c r="K78" s="1517"/>
      <c r="L78" s="1512"/>
      <c r="M78" s="1512"/>
      <c r="N78" s="1517"/>
      <c r="O78" s="1514"/>
      <c r="P78" s="1520"/>
      <c r="Q78" s="1520"/>
      <c r="R78" s="1520"/>
    </row>
    <row r="79" spans="1:18">
      <c r="F79" s="1521"/>
      <c r="G79" s="1521"/>
      <c r="H79" s="1521"/>
      <c r="I79" s="1521"/>
      <c r="J79" s="1521"/>
      <c r="K79" s="1521"/>
      <c r="L79" s="1521"/>
      <c r="M79" s="1521"/>
      <c r="N79" s="1521"/>
      <c r="O79" s="1521"/>
      <c r="P79" s="1521"/>
      <c r="Q79" s="1521"/>
      <c r="R79" s="1521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45" firstPageNumber="106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A5" sqref="A5:A11"/>
    </sheetView>
  </sheetViews>
  <sheetFormatPr defaultColWidth="9.140625" defaultRowHeight="12.75"/>
  <cols>
    <col min="1" max="1" width="5.140625" style="854" customWidth="1"/>
    <col min="2" max="2" width="7.7109375" style="854" customWidth="1"/>
    <col min="3" max="3" width="8.7109375" style="889" customWidth="1"/>
    <col min="4" max="4" width="9.7109375" style="889" customWidth="1"/>
    <col min="5" max="5" width="9.140625" style="889" customWidth="1"/>
    <col min="6" max="6" width="8.42578125" style="889" customWidth="1"/>
    <col min="7" max="7" width="10.140625" style="889" customWidth="1"/>
    <col min="8" max="8" width="9.140625" style="854"/>
    <col min="9" max="9" width="11.7109375" style="854" bestFit="1" customWidth="1"/>
    <col min="10" max="10" width="10.42578125" style="854" bestFit="1" customWidth="1"/>
    <col min="11" max="11" width="11.5703125" style="854" bestFit="1" customWidth="1"/>
    <col min="12" max="14" width="9.42578125" style="854" bestFit="1" customWidth="1"/>
    <col min="15" max="16384" width="9.140625" style="854"/>
  </cols>
  <sheetData>
    <row r="1" spans="1:21">
      <c r="A1" s="2359" t="s">
        <v>1725</v>
      </c>
      <c r="B1" s="2359"/>
      <c r="C1" s="2359"/>
      <c r="D1" s="2359"/>
      <c r="E1" s="2359"/>
      <c r="F1" s="2359"/>
      <c r="G1" s="2359"/>
      <c r="H1" s="2359"/>
      <c r="I1" s="888" t="s">
        <v>1726</v>
      </c>
    </row>
    <row r="2" spans="1:21">
      <c r="A2" s="8"/>
      <c r="B2" s="8"/>
      <c r="C2" s="28"/>
      <c r="D2" s="28"/>
      <c r="E2" s="28"/>
      <c r="F2" s="28"/>
      <c r="H2" s="28" t="s">
        <v>678</v>
      </c>
      <c r="I2" s="1" t="s">
        <v>1746</v>
      </c>
      <c r="J2" s="4"/>
    </row>
    <row r="3" spans="1:21" ht="33.75" customHeight="1">
      <c r="A3" s="2364" t="s">
        <v>21</v>
      </c>
      <c r="B3" s="2365"/>
      <c r="C3" s="1363" t="s">
        <v>1712</v>
      </c>
      <c r="D3" s="890" t="s">
        <v>1604</v>
      </c>
      <c r="E3" s="891" t="s">
        <v>2180</v>
      </c>
      <c r="F3" s="891" t="s">
        <v>2181</v>
      </c>
      <c r="G3" s="891" t="s">
        <v>1616</v>
      </c>
      <c r="H3" s="1706" t="s">
        <v>1696</v>
      </c>
      <c r="I3" s="891" t="s">
        <v>1617</v>
      </c>
    </row>
    <row r="4" spans="1:21" ht="12.75" customHeight="1">
      <c r="A4" s="2360" t="s">
        <v>2166</v>
      </c>
      <c r="B4" s="2360"/>
      <c r="C4" s="1154">
        <f>SUM(C5:C32)</f>
        <v>196750.72000000006</v>
      </c>
      <c r="D4" s="1154">
        <f t="shared" ref="D4:H4" si="0">SUM(D5:D32)</f>
        <v>1411576.8999999997</v>
      </c>
      <c r="E4" s="1154">
        <f t="shared" si="0"/>
        <v>55259.651000000013</v>
      </c>
      <c r="F4" s="1155">
        <f t="shared" si="0"/>
        <v>94477.387999999992</v>
      </c>
      <c r="G4" s="1154">
        <f t="shared" si="0"/>
        <v>3213.2</v>
      </c>
      <c r="H4" s="1154">
        <f t="shared" si="0"/>
        <v>15615.483329800003</v>
      </c>
      <c r="I4" s="1156">
        <f>SUM(I5:I32)</f>
        <v>1.714418</v>
      </c>
      <c r="J4" s="1705"/>
      <c r="K4" s="1705"/>
      <c r="L4" s="1705"/>
      <c r="M4" s="1705"/>
      <c r="N4" s="1705"/>
      <c r="O4" s="892"/>
      <c r="P4" s="892"/>
      <c r="Q4" s="892"/>
      <c r="R4" s="892"/>
      <c r="S4" s="892"/>
    </row>
    <row r="5" spans="1:21" ht="12.75" customHeight="1">
      <c r="A5" s="2361" t="s">
        <v>1312</v>
      </c>
      <c r="B5" s="893" t="s">
        <v>1605</v>
      </c>
      <c r="C5" s="1157">
        <v>81.06</v>
      </c>
      <c r="D5" s="1157">
        <v>67.599999999999994</v>
      </c>
      <c r="E5" s="1157">
        <v>26.713000000000001</v>
      </c>
      <c r="F5" s="1158">
        <v>0.67</v>
      </c>
      <c r="G5" s="1159">
        <v>17.8</v>
      </c>
      <c r="H5" s="810">
        <v>0</v>
      </c>
      <c r="I5" s="810">
        <v>0</v>
      </c>
      <c r="O5" s="892"/>
      <c r="P5" s="892"/>
      <c r="Q5" s="892"/>
      <c r="R5" s="892"/>
      <c r="S5" s="892"/>
      <c r="T5" s="892"/>
      <c r="U5" s="892"/>
    </row>
    <row r="6" spans="1:21" ht="12.75" customHeight="1">
      <c r="A6" s="2362"/>
      <c r="B6" s="894" t="s">
        <v>1606</v>
      </c>
      <c r="C6" s="1160">
        <v>217.48</v>
      </c>
      <c r="D6" s="1160">
        <v>940.4</v>
      </c>
      <c r="E6" s="1160">
        <v>16.210999999999999</v>
      </c>
      <c r="F6" s="1161">
        <v>433.46800000000002</v>
      </c>
      <c r="G6" s="1162">
        <v>29.7</v>
      </c>
      <c r="H6" s="811">
        <v>0</v>
      </c>
      <c r="I6" s="811">
        <v>0</v>
      </c>
      <c r="O6" s="892"/>
      <c r="P6" s="892"/>
      <c r="Q6" s="892"/>
      <c r="R6" s="892"/>
      <c r="S6" s="892"/>
    </row>
    <row r="7" spans="1:21" ht="12.75" customHeight="1">
      <c r="A7" s="2362"/>
      <c r="B7" s="895" t="s">
        <v>1607</v>
      </c>
      <c r="C7" s="1153">
        <v>42380.41</v>
      </c>
      <c r="D7" s="1153">
        <v>269156.59999999998</v>
      </c>
      <c r="E7" s="1153">
        <v>9896.4650000000001</v>
      </c>
      <c r="F7" s="1153">
        <v>16479.178</v>
      </c>
      <c r="G7" s="1158">
        <v>172.6</v>
      </c>
      <c r="H7" s="863">
        <v>1620.1800519999999</v>
      </c>
      <c r="I7" s="863">
        <v>0</v>
      </c>
      <c r="O7" s="892"/>
      <c r="P7" s="892"/>
      <c r="Q7" s="892"/>
      <c r="R7" s="892"/>
      <c r="S7" s="892"/>
    </row>
    <row r="8" spans="1:21" ht="12.75" customHeight="1">
      <c r="A8" s="2362"/>
      <c r="B8" s="894" t="s">
        <v>1608</v>
      </c>
      <c r="C8" s="1160">
        <v>174.28</v>
      </c>
      <c r="D8" s="1160">
        <v>62.7</v>
      </c>
      <c r="E8" s="1160">
        <v>8.8879999999999999</v>
      </c>
      <c r="F8" s="1160">
        <v>70.953999999999994</v>
      </c>
      <c r="G8" s="1161">
        <v>466.6</v>
      </c>
      <c r="H8" s="811">
        <v>-15.300756</v>
      </c>
      <c r="I8" s="811">
        <v>0</v>
      </c>
      <c r="O8" s="892"/>
      <c r="P8" s="892"/>
      <c r="Q8" s="892"/>
      <c r="R8" s="892"/>
      <c r="S8" s="892"/>
    </row>
    <row r="9" spans="1:21" ht="12.75" customHeight="1">
      <c r="A9" s="2362"/>
      <c r="B9" s="895" t="s">
        <v>1609</v>
      </c>
      <c r="C9" s="1153">
        <v>3807.34</v>
      </c>
      <c r="D9" s="1153">
        <v>127.8</v>
      </c>
      <c r="E9" s="1153">
        <v>140.94300000000001</v>
      </c>
      <c r="F9" s="1153">
        <v>28.341000000000001</v>
      </c>
      <c r="G9" s="1163">
        <v>13.6</v>
      </c>
      <c r="H9" s="810">
        <v>-14.450714000000001</v>
      </c>
      <c r="I9" s="810">
        <v>0</v>
      </c>
      <c r="O9" s="892"/>
      <c r="P9" s="892"/>
      <c r="Q9" s="892"/>
      <c r="R9" s="892"/>
      <c r="S9" s="892"/>
    </row>
    <row r="10" spans="1:21" ht="12.75" customHeight="1">
      <c r="A10" s="2362"/>
      <c r="B10" s="894" t="s">
        <v>1610</v>
      </c>
      <c r="C10" s="1160">
        <v>2015.4</v>
      </c>
      <c r="D10" s="1160">
        <v>16384.3</v>
      </c>
      <c r="E10" s="1160">
        <v>44.988999999999997</v>
      </c>
      <c r="F10" s="1160">
        <v>539.85400000000004</v>
      </c>
      <c r="G10" s="1161">
        <v>9.4</v>
      </c>
      <c r="H10" s="811">
        <v>182.75903</v>
      </c>
      <c r="I10" s="811">
        <v>0</v>
      </c>
      <c r="O10" s="892"/>
      <c r="P10" s="892"/>
      <c r="Q10" s="892"/>
      <c r="R10" s="892"/>
      <c r="S10" s="892"/>
    </row>
    <row r="11" spans="1:21" ht="12.75" customHeight="1">
      <c r="A11" s="2363"/>
      <c r="B11" s="895" t="s">
        <v>1611</v>
      </c>
      <c r="C11" s="1153">
        <v>1180.68</v>
      </c>
      <c r="D11" s="1153">
        <v>2171.8000000000002</v>
      </c>
      <c r="E11" s="1153">
        <v>1742.787</v>
      </c>
      <c r="F11" s="1153">
        <v>1765.087</v>
      </c>
      <c r="G11" s="1163">
        <v>23.8</v>
      </c>
      <c r="H11" s="810">
        <v>495.57448599999998</v>
      </c>
      <c r="I11" s="810">
        <v>0</v>
      </c>
      <c r="O11" s="892"/>
      <c r="P11" s="892"/>
      <c r="Q11" s="892"/>
      <c r="R11" s="892"/>
      <c r="S11" s="892"/>
    </row>
    <row r="12" spans="1:21" ht="12.75" customHeight="1">
      <c r="A12" s="2357" t="s">
        <v>1444</v>
      </c>
      <c r="B12" s="896" t="s">
        <v>1605</v>
      </c>
      <c r="C12" s="1160">
        <v>22.17</v>
      </c>
      <c r="D12" s="1160">
        <v>207</v>
      </c>
      <c r="E12" s="1160">
        <v>2.726</v>
      </c>
      <c r="F12" s="1160">
        <v>0.90500000000000003</v>
      </c>
      <c r="G12" s="1161">
        <v>12</v>
      </c>
      <c r="H12" s="811">
        <v>0</v>
      </c>
      <c r="I12" s="811">
        <v>0</v>
      </c>
      <c r="O12" s="892"/>
      <c r="P12" s="892"/>
      <c r="Q12" s="892"/>
      <c r="R12" s="892"/>
      <c r="S12" s="892"/>
    </row>
    <row r="13" spans="1:21" s="857" customFormat="1" ht="12.75" customHeight="1">
      <c r="A13" s="2357" t="s">
        <v>1444</v>
      </c>
      <c r="B13" s="897" t="s">
        <v>1606</v>
      </c>
      <c r="C13" s="1164">
        <v>208.87</v>
      </c>
      <c r="D13" s="1164">
        <v>1358.9</v>
      </c>
      <c r="E13" s="1164">
        <v>14.122</v>
      </c>
      <c r="F13" s="1164">
        <v>432.54599999999999</v>
      </c>
      <c r="G13" s="1165">
        <v>32.6</v>
      </c>
      <c r="H13" s="849">
        <v>0</v>
      </c>
      <c r="I13" s="849">
        <v>0</v>
      </c>
      <c r="O13" s="898"/>
      <c r="P13" s="898"/>
      <c r="Q13" s="898"/>
      <c r="R13" s="898"/>
      <c r="S13" s="898"/>
    </row>
    <row r="14" spans="1:21" ht="12.75" customHeight="1">
      <c r="A14" s="2357" t="s">
        <v>1444</v>
      </c>
      <c r="B14" s="896" t="s">
        <v>1607</v>
      </c>
      <c r="C14" s="1160">
        <v>48210.3</v>
      </c>
      <c r="D14" s="1160">
        <v>327522</v>
      </c>
      <c r="E14" s="1160">
        <v>10602.415000000001</v>
      </c>
      <c r="F14" s="1160">
        <v>19962.973000000002</v>
      </c>
      <c r="G14" s="1161">
        <v>235</v>
      </c>
      <c r="H14" s="811">
        <v>2045.3006740000001</v>
      </c>
      <c r="I14" s="811">
        <v>0</v>
      </c>
      <c r="O14" s="892"/>
      <c r="P14" s="892"/>
      <c r="Q14" s="892"/>
      <c r="R14" s="892"/>
      <c r="S14" s="892"/>
    </row>
    <row r="15" spans="1:21" s="857" customFormat="1" ht="12.75" customHeight="1">
      <c r="A15" s="2357" t="s">
        <v>1444</v>
      </c>
      <c r="B15" s="897" t="s">
        <v>1608</v>
      </c>
      <c r="C15" s="1164">
        <v>77.989999999999995</v>
      </c>
      <c r="D15" s="1164">
        <v>187.2</v>
      </c>
      <c r="E15" s="1164">
        <v>23.317</v>
      </c>
      <c r="F15" s="1164">
        <v>76.709000000000003</v>
      </c>
      <c r="G15" s="1165">
        <v>335.2</v>
      </c>
      <c r="H15" s="849">
        <v>-5.1432539999999998</v>
      </c>
      <c r="I15" s="849">
        <v>0</v>
      </c>
      <c r="O15" s="898"/>
      <c r="P15" s="898"/>
      <c r="Q15" s="898"/>
      <c r="R15" s="898"/>
      <c r="S15" s="898"/>
    </row>
    <row r="16" spans="1:21" ht="12.75" customHeight="1">
      <c r="A16" s="2357" t="s">
        <v>1444</v>
      </c>
      <c r="B16" s="896" t="s">
        <v>1609</v>
      </c>
      <c r="C16" s="1160">
        <v>2251.13</v>
      </c>
      <c r="D16" s="1160">
        <v>144.80000000000001</v>
      </c>
      <c r="E16" s="1160">
        <v>194.56399999999999</v>
      </c>
      <c r="F16" s="1160">
        <v>96.262</v>
      </c>
      <c r="G16" s="1161">
        <v>19.7</v>
      </c>
      <c r="H16" s="811">
        <v>-18.858598000000001</v>
      </c>
      <c r="I16" s="811">
        <v>0</v>
      </c>
      <c r="O16" s="892"/>
      <c r="P16" s="892"/>
      <c r="Q16" s="892"/>
      <c r="R16" s="892"/>
      <c r="S16" s="892"/>
    </row>
    <row r="17" spans="1:19" s="857" customFormat="1" ht="12.75" customHeight="1">
      <c r="A17" s="2357" t="s">
        <v>1444</v>
      </c>
      <c r="B17" s="897" t="s">
        <v>1610</v>
      </c>
      <c r="C17" s="1164">
        <v>2847.1</v>
      </c>
      <c r="D17" s="1164">
        <v>22556.2</v>
      </c>
      <c r="E17" s="1164">
        <v>58.804000000000002</v>
      </c>
      <c r="F17" s="1164">
        <v>791.66399999999999</v>
      </c>
      <c r="G17" s="1165">
        <v>7.7</v>
      </c>
      <c r="H17" s="849">
        <v>228.017594</v>
      </c>
      <c r="I17" s="849">
        <v>1.714418</v>
      </c>
      <c r="O17" s="898"/>
      <c r="P17" s="898"/>
      <c r="Q17" s="898"/>
      <c r="R17" s="898"/>
      <c r="S17" s="898"/>
    </row>
    <row r="18" spans="1:19" ht="12.75" customHeight="1">
      <c r="A18" s="2357" t="s">
        <v>1444</v>
      </c>
      <c r="B18" s="896" t="s">
        <v>1611</v>
      </c>
      <c r="C18" s="1160">
        <v>1267.43</v>
      </c>
      <c r="D18" s="1160">
        <v>2605.6999999999998</v>
      </c>
      <c r="E18" s="1160">
        <v>1844.5550000000001</v>
      </c>
      <c r="F18" s="1160">
        <v>1514.789</v>
      </c>
      <c r="G18" s="1161">
        <v>35.1</v>
      </c>
      <c r="H18" s="811">
        <v>7353.9960110000002</v>
      </c>
      <c r="I18" s="811">
        <v>0</v>
      </c>
      <c r="O18" s="892"/>
      <c r="P18" s="892"/>
      <c r="Q18" s="892"/>
      <c r="R18" s="892"/>
      <c r="S18" s="892"/>
    </row>
    <row r="19" spans="1:19" s="857" customFormat="1" ht="12.75" customHeight="1">
      <c r="A19" s="2357" t="s">
        <v>1310</v>
      </c>
      <c r="B19" s="897" t="s">
        <v>1605</v>
      </c>
      <c r="C19" s="1164">
        <v>126.74</v>
      </c>
      <c r="D19" s="1164">
        <v>557.20000000000005</v>
      </c>
      <c r="E19" s="1164">
        <v>3.9630000000000001</v>
      </c>
      <c r="F19" s="1164">
        <v>2.117</v>
      </c>
      <c r="G19" s="1165">
        <v>4.3</v>
      </c>
      <c r="H19" s="849">
        <v>0</v>
      </c>
      <c r="I19" s="849">
        <v>0</v>
      </c>
      <c r="O19" s="898"/>
      <c r="P19" s="898"/>
      <c r="Q19" s="898"/>
      <c r="R19" s="898"/>
      <c r="S19" s="898"/>
    </row>
    <row r="20" spans="1:19" ht="12.75" customHeight="1">
      <c r="A20" s="2357" t="s">
        <v>1310</v>
      </c>
      <c r="B20" s="896" t="s">
        <v>1606</v>
      </c>
      <c r="C20" s="1160">
        <v>159.55000000000001</v>
      </c>
      <c r="D20" s="1160">
        <v>1440.1</v>
      </c>
      <c r="E20" s="1160">
        <v>7.6920000000000002</v>
      </c>
      <c r="F20" s="1160">
        <v>392.745</v>
      </c>
      <c r="G20" s="1161">
        <v>13.8</v>
      </c>
      <c r="H20" s="811">
        <v>0</v>
      </c>
      <c r="I20" s="811">
        <v>0</v>
      </c>
      <c r="O20" s="892"/>
      <c r="P20" s="892"/>
      <c r="Q20" s="892"/>
      <c r="R20" s="892"/>
      <c r="S20" s="892"/>
    </row>
    <row r="21" spans="1:19" s="857" customFormat="1" ht="12.75" customHeight="1">
      <c r="A21" s="2357" t="s">
        <v>1310</v>
      </c>
      <c r="B21" s="897" t="s">
        <v>1607</v>
      </c>
      <c r="C21" s="1164">
        <v>40423.379999999997</v>
      </c>
      <c r="D21" s="1164">
        <v>386766.9</v>
      </c>
      <c r="E21" s="1164">
        <v>12984.97</v>
      </c>
      <c r="F21" s="1164">
        <v>21196.638999999999</v>
      </c>
      <c r="G21" s="1165">
        <v>292.39999999999998</v>
      </c>
      <c r="H21" s="849">
        <v>1380.38346</v>
      </c>
      <c r="I21" s="849">
        <v>0</v>
      </c>
      <c r="O21" s="898"/>
      <c r="P21" s="898"/>
      <c r="Q21" s="898"/>
      <c r="R21" s="898"/>
      <c r="S21" s="898"/>
    </row>
    <row r="22" spans="1:19" ht="12.75" customHeight="1">
      <c r="A22" s="2357" t="s">
        <v>1310</v>
      </c>
      <c r="B22" s="896" t="s">
        <v>1608</v>
      </c>
      <c r="C22" s="1160">
        <v>130.47999999999999</v>
      </c>
      <c r="D22" s="1160">
        <v>73.099999999999994</v>
      </c>
      <c r="E22" s="1160">
        <v>46.281999999999996</v>
      </c>
      <c r="F22" s="1160">
        <v>57.216000000000001</v>
      </c>
      <c r="G22" s="1161">
        <v>395.6</v>
      </c>
      <c r="H22" s="811">
        <v>0</v>
      </c>
      <c r="I22" s="811">
        <v>0</v>
      </c>
      <c r="O22" s="892"/>
      <c r="P22" s="892"/>
      <c r="Q22" s="892"/>
      <c r="R22" s="892"/>
      <c r="S22" s="892"/>
    </row>
    <row r="23" spans="1:19" s="857" customFormat="1" ht="12.75" customHeight="1">
      <c r="A23" s="2357" t="s">
        <v>1310</v>
      </c>
      <c r="B23" s="897" t="s">
        <v>1609</v>
      </c>
      <c r="C23" s="1164">
        <v>1585.77</v>
      </c>
      <c r="D23" s="1164">
        <v>129.80000000000001</v>
      </c>
      <c r="E23" s="1164">
        <v>179.678</v>
      </c>
      <c r="F23" s="1164">
        <v>295.05200000000002</v>
      </c>
      <c r="G23" s="1165">
        <v>10.3</v>
      </c>
      <c r="H23" s="849">
        <v>16.340987999999999</v>
      </c>
      <c r="I23" s="849">
        <v>0</v>
      </c>
      <c r="O23" s="898"/>
      <c r="P23" s="898"/>
      <c r="Q23" s="898"/>
      <c r="R23" s="898"/>
      <c r="S23" s="898"/>
    </row>
    <row r="24" spans="1:19" ht="12.75" customHeight="1">
      <c r="A24" s="2357" t="s">
        <v>1310</v>
      </c>
      <c r="B24" s="896" t="s">
        <v>1610</v>
      </c>
      <c r="C24" s="1160">
        <v>1946.7</v>
      </c>
      <c r="D24" s="1160">
        <v>22679.200000000001</v>
      </c>
      <c r="E24" s="1160">
        <v>56.783999999999999</v>
      </c>
      <c r="F24" s="1160">
        <v>989.43100000000004</v>
      </c>
      <c r="G24" s="1161">
        <v>20.6</v>
      </c>
      <c r="H24" s="811">
        <v>372.40251599999999</v>
      </c>
      <c r="I24" s="811">
        <v>0</v>
      </c>
      <c r="O24" s="892"/>
      <c r="P24" s="892"/>
      <c r="Q24" s="892"/>
      <c r="R24" s="892"/>
      <c r="S24" s="892"/>
    </row>
    <row r="25" spans="1:19" s="857" customFormat="1" ht="12.75" customHeight="1">
      <c r="A25" s="2357" t="s">
        <v>1310</v>
      </c>
      <c r="B25" s="897" t="s">
        <v>1611</v>
      </c>
      <c r="C25" s="1164">
        <v>1450.25</v>
      </c>
      <c r="D25" s="1164">
        <v>3098.2</v>
      </c>
      <c r="E25" s="1164">
        <v>1706.41</v>
      </c>
      <c r="F25" s="1164">
        <v>2346.413</v>
      </c>
      <c r="G25" s="1165">
        <v>16.3</v>
      </c>
      <c r="H25" s="849">
        <v>-2840.7517560000001</v>
      </c>
      <c r="I25" s="849">
        <v>0</v>
      </c>
      <c r="O25" s="898"/>
      <c r="P25" s="898"/>
      <c r="Q25" s="898"/>
      <c r="R25" s="898"/>
      <c r="S25" s="898"/>
    </row>
    <row r="26" spans="1:19" ht="12.75" customHeight="1">
      <c r="A26" s="2357" t="s">
        <v>1311</v>
      </c>
      <c r="B26" s="896" t="s">
        <v>1605</v>
      </c>
      <c r="C26" s="1160">
        <v>216.29</v>
      </c>
      <c r="D26" s="1160">
        <v>359.9</v>
      </c>
      <c r="E26" s="1160">
        <v>9.0060000000000002</v>
      </c>
      <c r="F26" s="1160">
        <v>1.833</v>
      </c>
      <c r="G26" s="1161">
        <v>18</v>
      </c>
      <c r="H26" s="811">
        <v>0</v>
      </c>
      <c r="I26" s="811">
        <v>0</v>
      </c>
      <c r="O26" s="892"/>
      <c r="P26" s="892"/>
      <c r="Q26" s="892"/>
      <c r="R26" s="892"/>
      <c r="S26" s="892"/>
    </row>
    <row r="27" spans="1:19" s="857" customFormat="1" ht="12.75" customHeight="1">
      <c r="A27" s="2357" t="s">
        <v>1612</v>
      </c>
      <c r="B27" s="897" t="s">
        <v>1606</v>
      </c>
      <c r="C27" s="1164">
        <v>239.46</v>
      </c>
      <c r="D27" s="1164">
        <v>1231.5</v>
      </c>
      <c r="E27" s="1164">
        <v>14.302</v>
      </c>
      <c r="F27" s="1164">
        <v>495.08800000000002</v>
      </c>
      <c r="G27" s="1165">
        <v>23.9</v>
      </c>
      <c r="H27" s="849">
        <v>0</v>
      </c>
      <c r="I27" s="849">
        <v>0</v>
      </c>
      <c r="O27" s="898"/>
      <c r="P27" s="898"/>
      <c r="Q27" s="898"/>
      <c r="R27" s="898"/>
      <c r="S27" s="898"/>
    </row>
    <row r="28" spans="1:19" ht="12.75" customHeight="1">
      <c r="A28" s="2357" t="s">
        <v>1612</v>
      </c>
      <c r="B28" s="896" t="s">
        <v>1607</v>
      </c>
      <c r="C28" s="1160">
        <v>40756.1</v>
      </c>
      <c r="D28" s="1160">
        <v>326287</v>
      </c>
      <c r="E28" s="1160">
        <v>13236.558999999999</v>
      </c>
      <c r="F28" s="1160">
        <v>22687.867999999999</v>
      </c>
      <c r="G28" s="1161">
        <v>265.3</v>
      </c>
      <c r="H28" s="811">
        <v>4236.1674254199997</v>
      </c>
      <c r="I28" s="811">
        <v>0</v>
      </c>
      <c r="O28" s="892"/>
      <c r="P28" s="892"/>
      <c r="Q28" s="892"/>
      <c r="R28" s="892"/>
      <c r="S28" s="892"/>
    </row>
    <row r="29" spans="1:19" s="857" customFormat="1" ht="12.75" customHeight="1">
      <c r="A29" s="2357" t="s">
        <v>1612</v>
      </c>
      <c r="B29" s="897" t="s">
        <v>1608</v>
      </c>
      <c r="C29" s="1164">
        <v>120.38</v>
      </c>
      <c r="D29" s="1164">
        <v>62.8</v>
      </c>
      <c r="E29" s="1164">
        <v>80.408000000000001</v>
      </c>
      <c r="F29" s="1164">
        <v>69.894000000000005</v>
      </c>
      <c r="G29" s="1165">
        <v>671.2</v>
      </c>
      <c r="H29" s="849">
        <v>0</v>
      </c>
      <c r="I29" s="849">
        <v>0</v>
      </c>
      <c r="O29" s="898"/>
      <c r="P29" s="898"/>
      <c r="Q29" s="898"/>
      <c r="R29" s="898"/>
      <c r="S29" s="898"/>
    </row>
    <row r="30" spans="1:19" ht="12.75" customHeight="1">
      <c r="A30" s="2357" t="s">
        <v>1612</v>
      </c>
      <c r="B30" s="896" t="s">
        <v>1609</v>
      </c>
      <c r="C30" s="1160">
        <v>1417.53</v>
      </c>
      <c r="D30" s="1160">
        <v>149.9</v>
      </c>
      <c r="E30" s="1160">
        <v>195.34700000000001</v>
      </c>
      <c r="F30" s="1160">
        <v>632.19299999999998</v>
      </c>
      <c r="G30" s="1161">
        <v>10.6</v>
      </c>
      <c r="H30" s="811">
        <v>4.42558235</v>
      </c>
      <c r="I30" s="811">
        <v>0</v>
      </c>
      <c r="O30" s="892"/>
      <c r="P30" s="892"/>
      <c r="Q30" s="892"/>
      <c r="R30" s="892"/>
      <c r="S30" s="892"/>
    </row>
    <row r="31" spans="1:19" s="857" customFormat="1" ht="12.75" customHeight="1">
      <c r="A31" s="2357" t="s">
        <v>1612</v>
      </c>
      <c r="B31" s="897" t="s">
        <v>1610</v>
      </c>
      <c r="C31" s="1164">
        <v>2321.94</v>
      </c>
      <c r="D31" s="1164">
        <v>21318.5</v>
      </c>
      <c r="E31" s="1164">
        <v>87.68</v>
      </c>
      <c r="F31" s="1164">
        <v>825.47199999999998</v>
      </c>
      <c r="G31" s="1165">
        <v>20.2</v>
      </c>
      <c r="H31" s="849">
        <v>200.92143869</v>
      </c>
      <c r="I31" s="849">
        <v>0</v>
      </c>
      <c r="L31" s="1177"/>
      <c r="N31" s="1178"/>
      <c r="O31" s="898"/>
      <c r="P31" s="898"/>
      <c r="Q31" s="898"/>
      <c r="R31" s="898"/>
      <c r="S31" s="898"/>
    </row>
    <row r="32" spans="1:19" ht="12.75" customHeight="1">
      <c r="A32" s="2358" t="s">
        <v>1612</v>
      </c>
      <c r="B32" s="899" t="s">
        <v>1611</v>
      </c>
      <c r="C32" s="1166">
        <v>1114.51</v>
      </c>
      <c r="D32" s="1166">
        <v>3929.8</v>
      </c>
      <c r="E32" s="1167">
        <v>2033.0709999999999</v>
      </c>
      <c r="F32" s="1167">
        <v>2292.027</v>
      </c>
      <c r="G32" s="1168">
        <v>39.9</v>
      </c>
      <c r="H32" s="811">
        <v>373.51915033999995</v>
      </c>
      <c r="I32" s="811">
        <v>0</v>
      </c>
      <c r="O32" s="892"/>
      <c r="P32" s="892"/>
      <c r="Q32" s="892"/>
      <c r="R32" s="892"/>
      <c r="S32" s="892"/>
    </row>
    <row r="33" spans="1:10">
      <c r="A33" s="8"/>
      <c r="B33" s="8"/>
      <c r="C33" s="797"/>
      <c r="D33" s="797"/>
      <c r="E33" s="797"/>
      <c r="F33" s="797"/>
      <c r="G33" s="797"/>
      <c r="H33" s="1"/>
      <c r="I33" s="4"/>
    </row>
    <row r="34" spans="1:10">
      <c r="A34" s="1" t="s">
        <v>1250</v>
      </c>
      <c r="B34" s="8" t="s">
        <v>1613</v>
      </c>
      <c r="C34" s="797"/>
      <c r="D34" s="797"/>
      <c r="G34" s="28" t="s">
        <v>1614</v>
      </c>
      <c r="H34" s="1"/>
      <c r="I34" s="4"/>
    </row>
    <row r="35" spans="1:10" ht="12.75" customHeight="1">
      <c r="A35" s="1179"/>
      <c r="B35" s="1180" t="s">
        <v>2183</v>
      </c>
      <c r="C35" s="1180"/>
      <c r="D35" s="1180"/>
      <c r="E35" s="1180"/>
      <c r="F35" s="1180"/>
      <c r="G35" s="1180"/>
      <c r="H35" s="59"/>
      <c r="I35" s="59"/>
      <c r="J35" s="59"/>
    </row>
    <row r="36" spans="1:10">
      <c r="A36" s="1"/>
      <c r="B36" s="8" t="s">
        <v>2182</v>
      </c>
      <c r="C36" s="797"/>
      <c r="D36" s="797"/>
      <c r="G36" s="28"/>
      <c r="H36" s="1"/>
      <c r="I36" s="4"/>
    </row>
    <row r="37" spans="1:10" ht="13.5" customHeight="1">
      <c r="A37" s="900" t="s">
        <v>274</v>
      </c>
      <c r="B37" s="1361" t="s">
        <v>1615</v>
      </c>
      <c r="C37" s="1362"/>
      <c r="D37" s="1362"/>
      <c r="E37" s="1362"/>
      <c r="F37" s="1362"/>
      <c r="G37" s="1362"/>
      <c r="H37" s="906"/>
      <c r="I37" s="4"/>
    </row>
    <row r="38" spans="1:10">
      <c r="A38" s="8"/>
      <c r="B38" s="287" t="s">
        <v>2102</v>
      </c>
      <c r="C38" s="28"/>
      <c r="D38" s="28"/>
      <c r="E38" s="28"/>
      <c r="F38" s="28"/>
      <c r="G38" s="28"/>
      <c r="H38" s="907"/>
      <c r="I38" s="908"/>
    </row>
    <row r="39" spans="1:10">
      <c r="B39" s="1364" t="s">
        <v>2101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45" firstPageNumber="108" orientation="portrait" useFirstPageNumber="1" r:id="rId2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3"/>
  <sheetViews>
    <sheetView zoomScale="130" zoomScaleNormal="13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I48" sqref="I48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70"/>
      <c r="B1" s="1870"/>
      <c r="C1" s="1870"/>
      <c r="D1" s="1870"/>
      <c r="E1" s="1870"/>
      <c r="F1" s="1870"/>
      <c r="G1" s="1825" t="s">
        <v>129</v>
      </c>
      <c r="H1" s="1825"/>
      <c r="I1" s="1825"/>
      <c r="J1" s="1251" t="s">
        <v>327</v>
      </c>
      <c r="K1" s="36"/>
      <c r="L1" s="36"/>
      <c r="M1" s="36"/>
      <c r="N1" s="1853" t="s">
        <v>202</v>
      </c>
      <c r="O1" s="1853"/>
      <c r="P1" s="36"/>
      <c r="Q1" s="36"/>
      <c r="R1" s="36"/>
    </row>
    <row r="2" spans="1:68" s="2" customFormat="1" ht="12.75" customHeight="1">
      <c r="A2" s="201"/>
      <c r="B2" s="201"/>
      <c r="C2" s="201"/>
      <c r="D2" s="201"/>
      <c r="E2" s="201"/>
      <c r="F2" s="1854" t="s">
        <v>882</v>
      </c>
      <c r="G2" s="1854"/>
      <c r="H2" s="1854"/>
      <c r="I2" s="1854"/>
      <c r="J2" s="173" t="s">
        <v>1391</v>
      </c>
      <c r="K2" s="173"/>
      <c r="N2" s="1855"/>
      <c r="O2" s="1855"/>
    </row>
    <row r="3" spans="1:68" s="184" customFormat="1" ht="23.25" customHeight="1">
      <c r="A3" s="1874" t="s">
        <v>527</v>
      </c>
      <c r="B3" s="1875" t="s">
        <v>914</v>
      </c>
      <c r="C3" s="1875"/>
      <c r="D3" s="1875"/>
      <c r="E3" s="1876"/>
      <c r="F3" s="1856" t="s">
        <v>2267</v>
      </c>
      <c r="G3" s="1857"/>
      <c r="H3" s="1857"/>
      <c r="I3" s="1858"/>
      <c r="J3" s="1817" t="s">
        <v>1766</v>
      </c>
      <c r="K3" s="1859"/>
      <c r="L3" s="1860"/>
      <c r="M3" s="1817" t="s">
        <v>295</v>
      </c>
      <c r="N3" s="1860"/>
      <c r="O3" s="1861" t="s">
        <v>527</v>
      </c>
    </row>
    <row r="4" spans="1:68" s="184" customFormat="1" ht="24.75" customHeight="1">
      <c r="A4" s="1874"/>
      <c r="B4" s="1877"/>
      <c r="C4" s="1877"/>
      <c r="D4" s="1877"/>
      <c r="E4" s="1878"/>
      <c r="F4" s="1816" t="s">
        <v>2268</v>
      </c>
      <c r="G4" s="1864"/>
      <c r="H4" s="1864"/>
      <c r="I4" s="1865"/>
      <c r="J4" s="1866" t="s">
        <v>198</v>
      </c>
      <c r="K4" s="1867"/>
      <c r="L4" s="1785" t="s">
        <v>2176</v>
      </c>
      <c r="M4" s="1868" t="s">
        <v>1253</v>
      </c>
      <c r="N4" s="1869"/>
      <c r="O4" s="1862"/>
    </row>
    <row r="5" spans="1:68" s="184" customFormat="1" ht="21.75" customHeight="1">
      <c r="A5" s="1874"/>
      <c r="B5" s="1879" t="s">
        <v>910</v>
      </c>
      <c r="C5" s="1872" t="s">
        <v>911</v>
      </c>
      <c r="D5" s="1872" t="s">
        <v>912</v>
      </c>
      <c r="E5" s="1872" t="s">
        <v>913</v>
      </c>
      <c r="F5" s="1785" t="s">
        <v>2269</v>
      </c>
      <c r="G5" s="1814" t="s">
        <v>2270</v>
      </c>
      <c r="H5" s="1814" t="s">
        <v>2271</v>
      </c>
      <c r="I5" s="1814" t="s">
        <v>2272</v>
      </c>
      <c r="J5" s="1785" t="s">
        <v>1252</v>
      </c>
      <c r="K5" s="1785" t="s">
        <v>1359</v>
      </c>
      <c r="L5" s="1846"/>
      <c r="M5" s="1785" t="s">
        <v>1123</v>
      </c>
      <c r="N5" s="1785" t="s">
        <v>1122</v>
      </c>
      <c r="O5" s="1862"/>
    </row>
    <row r="6" spans="1:68" s="184" customFormat="1" ht="14.25" customHeight="1">
      <c r="A6" s="1874"/>
      <c r="B6" s="1880"/>
      <c r="C6" s="1873"/>
      <c r="D6" s="1873"/>
      <c r="E6" s="1873"/>
      <c r="F6" s="1786"/>
      <c r="G6" s="1815"/>
      <c r="H6" s="1815"/>
      <c r="I6" s="1815"/>
      <c r="J6" s="1786"/>
      <c r="K6" s="1786"/>
      <c r="L6" s="1786"/>
      <c r="M6" s="1786"/>
      <c r="N6" s="1786"/>
      <c r="O6" s="1862"/>
    </row>
    <row r="7" spans="1:68" s="28" customFormat="1" ht="12.75" customHeight="1">
      <c r="A7" s="1874"/>
      <c r="B7" s="1116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63"/>
      <c r="P7" s="1012"/>
      <c r="Q7" s="1012"/>
      <c r="R7" s="1012"/>
      <c r="S7" s="1012"/>
      <c r="T7" s="1012"/>
      <c r="U7" s="1012"/>
      <c r="V7" s="1012"/>
      <c r="W7" s="1012"/>
      <c r="X7" s="1012"/>
      <c r="Y7" s="1012"/>
      <c r="Z7" s="1012"/>
      <c r="AA7" s="1012"/>
      <c r="AB7" s="1012"/>
      <c r="AC7" s="1012"/>
      <c r="AD7" s="1012"/>
      <c r="AE7" s="1012"/>
      <c r="AF7" s="1012"/>
      <c r="AG7" s="1012"/>
      <c r="AH7" s="1012"/>
      <c r="AI7" s="1012"/>
      <c r="AJ7" s="1012"/>
      <c r="AK7" s="1012"/>
      <c r="AL7" s="1012"/>
      <c r="AM7" s="1012"/>
      <c r="AN7" s="1012"/>
      <c r="AO7" s="1012"/>
      <c r="AP7" s="1012"/>
      <c r="AQ7" s="1012"/>
      <c r="AR7" s="1012"/>
      <c r="AS7" s="1012"/>
      <c r="AT7" s="1012"/>
      <c r="AU7" s="1012"/>
      <c r="AV7" s="1012"/>
      <c r="AW7" s="1012"/>
      <c r="AX7" s="1012"/>
      <c r="AY7" s="1012"/>
      <c r="AZ7" s="1012"/>
      <c r="BA7" s="1012"/>
      <c r="BB7" s="1012"/>
      <c r="BC7" s="1012"/>
      <c r="BD7" s="1012"/>
      <c r="BE7" s="1012"/>
      <c r="BF7" s="1012"/>
      <c r="BG7" s="1012"/>
      <c r="BH7" s="1012"/>
      <c r="BI7" s="1012"/>
      <c r="BJ7" s="1012"/>
      <c r="BK7" s="1012"/>
      <c r="BL7" s="1012"/>
      <c r="BM7" s="1012"/>
      <c r="BN7" s="1012"/>
      <c r="BO7" s="1012"/>
      <c r="BP7" s="1012"/>
    </row>
    <row r="8" spans="1:68" s="393" customFormat="1" ht="10.5" customHeight="1">
      <c r="A8" s="382" t="s">
        <v>199</v>
      </c>
      <c r="B8" s="238">
        <v>11.14</v>
      </c>
      <c r="C8" s="238">
        <v>10.17</v>
      </c>
      <c r="D8" s="238" t="s">
        <v>306</v>
      </c>
      <c r="E8" s="367">
        <v>8.8000000000000007</v>
      </c>
      <c r="F8" s="367">
        <v>157.88999999999999</v>
      </c>
      <c r="G8" s="367">
        <v>135.24</v>
      </c>
      <c r="H8" s="367">
        <v>120.79</v>
      </c>
      <c r="I8" s="367">
        <v>154.58000000000001</v>
      </c>
      <c r="J8" s="246">
        <v>22928.2</v>
      </c>
      <c r="K8" s="246">
        <v>33657.5</v>
      </c>
      <c r="L8" s="246">
        <v>10485.209999999999</v>
      </c>
      <c r="M8" s="392">
        <v>71.216399999999993</v>
      </c>
      <c r="N8" s="392">
        <v>74.149299999999997</v>
      </c>
      <c r="O8" s="391" t="s">
        <v>199</v>
      </c>
    </row>
    <row r="9" spans="1:68" s="393" customFormat="1" ht="10.5" customHeight="1">
      <c r="A9" s="354" t="s">
        <v>792</v>
      </c>
      <c r="B9" s="322">
        <v>5.54</v>
      </c>
      <c r="C9" s="322">
        <v>8.56</v>
      </c>
      <c r="D9" s="322" t="s">
        <v>306</v>
      </c>
      <c r="E9" s="323">
        <v>10.62</v>
      </c>
      <c r="F9" s="323">
        <v>174.92</v>
      </c>
      <c r="G9" s="323">
        <v>142.36000000000001</v>
      </c>
      <c r="H9" s="323">
        <v>129.05000000000001</v>
      </c>
      <c r="I9" s="323">
        <v>171.21</v>
      </c>
      <c r="J9" s="317">
        <v>24302.000000000004</v>
      </c>
      <c r="K9" s="317">
        <v>35516.300000000003</v>
      </c>
      <c r="L9" s="317">
        <v>10365.17</v>
      </c>
      <c r="M9" s="384">
        <v>79.2102</v>
      </c>
      <c r="N9" s="384">
        <v>81.815799999999996</v>
      </c>
      <c r="O9" s="385" t="s">
        <v>792</v>
      </c>
    </row>
    <row r="10" spans="1:68" s="393" customFormat="1" ht="10.5" customHeight="1">
      <c r="A10" s="278" t="s">
        <v>908</v>
      </c>
      <c r="B10" s="280">
        <v>8.0500000000000007</v>
      </c>
      <c r="C10" s="280">
        <v>7.97</v>
      </c>
      <c r="D10" s="280">
        <v>6.78</v>
      </c>
      <c r="E10" s="281">
        <v>7.7</v>
      </c>
      <c r="F10" s="281">
        <v>195.19</v>
      </c>
      <c r="G10" s="281">
        <v>153.15</v>
      </c>
      <c r="H10" s="281">
        <v>160.43</v>
      </c>
      <c r="I10" s="281">
        <v>190.53</v>
      </c>
      <c r="J10" s="252">
        <v>27027.45</v>
      </c>
      <c r="K10" s="252">
        <v>34083.599999999999</v>
      </c>
      <c r="L10" s="252">
        <v>15318.34</v>
      </c>
      <c r="M10" s="397">
        <v>79.935900000000004</v>
      </c>
      <c r="N10" s="397">
        <v>77.759299999999996</v>
      </c>
      <c r="O10" s="419" t="s">
        <v>908</v>
      </c>
    </row>
    <row r="11" spans="1:68" s="280" customFormat="1" ht="10.5" customHeight="1">
      <c r="A11" s="354" t="s">
        <v>1108</v>
      </c>
      <c r="B11" s="323">
        <v>6.97</v>
      </c>
      <c r="C11" s="323" t="s">
        <v>306</v>
      </c>
      <c r="D11" s="323">
        <v>7.35</v>
      </c>
      <c r="E11" s="323" t="s">
        <v>306</v>
      </c>
      <c r="F11" s="323">
        <v>213.22</v>
      </c>
      <c r="G11" s="323">
        <v>157.18</v>
      </c>
      <c r="H11" s="323">
        <v>177.2</v>
      </c>
      <c r="I11" s="323">
        <v>207.83</v>
      </c>
      <c r="J11" s="317">
        <v>30186.62</v>
      </c>
      <c r="K11" s="317">
        <v>40731.9</v>
      </c>
      <c r="L11" s="317">
        <v>21508.89</v>
      </c>
      <c r="M11" s="384">
        <v>77.72</v>
      </c>
      <c r="N11" s="384">
        <v>77.63</v>
      </c>
      <c r="O11" s="385" t="s">
        <v>1108</v>
      </c>
    </row>
    <row r="12" spans="1:68" s="280" customFormat="1" ht="10.5" customHeight="1">
      <c r="A12" s="278" t="s">
        <v>1167</v>
      </c>
      <c r="B12" s="281">
        <v>6.25</v>
      </c>
      <c r="C12" s="281" t="s">
        <v>306</v>
      </c>
      <c r="D12" s="281">
        <v>6.4</v>
      </c>
      <c r="E12" s="281" t="s">
        <v>306</v>
      </c>
      <c r="F12" s="281">
        <v>236.11</v>
      </c>
      <c r="G12" s="281">
        <v>172.97</v>
      </c>
      <c r="H12" s="281">
        <v>191.06</v>
      </c>
      <c r="I12" s="281">
        <v>229.68</v>
      </c>
      <c r="J12" s="252">
        <v>31208.949999999997</v>
      </c>
      <c r="K12" s="252">
        <v>40579.300000000003</v>
      </c>
      <c r="L12" s="252">
        <v>25026.06</v>
      </c>
      <c r="M12" s="397">
        <v>77.674999999999997</v>
      </c>
      <c r="N12" s="397">
        <v>77.800399999999996</v>
      </c>
      <c r="O12" s="419" t="s">
        <v>1167</v>
      </c>
    </row>
    <row r="13" spans="1:68" s="280" customFormat="1" ht="10.5" customHeight="1">
      <c r="A13" s="354" t="s">
        <v>1299</v>
      </c>
      <c r="B13" s="323">
        <v>5.53</v>
      </c>
      <c r="C13" s="323" t="s">
        <v>306</v>
      </c>
      <c r="D13" s="323">
        <v>5.92</v>
      </c>
      <c r="E13" s="323" t="s">
        <v>306</v>
      </c>
      <c r="F13" s="323">
        <v>267.88</v>
      </c>
      <c r="G13" s="323">
        <v>185.57</v>
      </c>
      <c r="H13" s="323">
        <v>219.29</v>
      </c>
      <c r="I13" s="323">
        <v>260.31</v>
      </c>
      <c r="J13" s="317">
        <v>34257.18</v>
      </c>
      <c r="K13" s="317">
        <v>40097.399999999994</v>
      </c>
      <c r="L13" s="317">
        <v>30355.56</v>
      </c>
      <c r="M13" s="384">
        <v>78.268600000000006</v>
      </c>
      <c r="N13" s="384">
        <v>78.400000000000006</v>
      </c>
      <c r="O13" s="385" t="s">
        <v>1299</v>
      </c>
    </row>
    <row r="14" spans="1:68" s="280" customFormat="1" ht="10.5" customHeight="1">
      <c r="A14" s="278" t="s">
        <v>1332</v>
      </c>
      <c r="B14" s="281">
        <v>5.94</v>
      </c>
      <c r="C14" s="281" t="s">
        <v>306</v>
      </c>
      <c r="D14" s="281">
        <v>5.44</v>
      </c>
      <c r="E14" s="281" t="s">
        <v>306</v>
      </c>
      <c r="F14" s="281">
        <v>297.89</v>
      </c>
      <c r="G14" s="281">
        <v>185.55</v>
      </c>
      <c r="H14" s="281">
        <v>243.39</v>
      </c>
      <c r="I14" s="281">
        <v>288.49</v>
      </c>
      <c r="J14" s="252">
        <v>34655.899999999994</v>
      </c>
      <c r="K14" s="252">
        <v>43540.840000000004</v>
      </c>
      <c r="L14" s="252">
        <v>33679.379999999997</v>
      </c>
      <c r="M14" s="397">
        <v>79.132999999999996</v>
      </c>
      <c r="N14" s="397">
        <v>80.598799999999997</v>
      </c>
      <c r="O14" s="419" t="s">
        <v>1332</v>
      </c>
    </row>
    <row r="15" spans="1:68" s="280" customFormat="1" ht="10.5" customHeight="1">
      <c r="A15" s="354" t="s">
        <v>1471</v>
      </c>
      <c r="B15" s="323">
        <v>5.54</v>
      </c>
      <c r="C15" s="323" t="s">
        <v>306</v>
      </c>
      <c r="D15" s="323">
        <v>5.78</v>
      </c>
      <c r="E15" s="323" t="s">
        <v>306</v>
      </c>
      <c r="F15" s="323">
        <v>342.47</v>
      </c>
      <c r="G15" s="323">
        <v>186.12</v>
      </c>
      <c r="H15" s="323">
        <v>270.95</v>
      </c>
      <c r="I15" s="323">
        <v>373.51</v>
      </c>
      <c r="J15" s="317">
        <v>36668.170000000006</v>
      </c>
      <c r="K15" s="317">
        <v>52939.600000000006</v>
      </c>
      <c r="L15" s="317">
        <v>32943.46</v>
      </c>
      <c r="M15" s="384">
        <v>82.107699999999994</v>
      </c>
      <c r="N15" s="384">
        <v>83.702200000000005</v>
      </c>
      <c r="O15" s="385" t="s">
        <v>1471</v>
      </c>
    </row>
    <row r="16" spans="1:68" s="280" customFormat="1" ht="10.5" customHeight="1">
      <c r="A16" s="278" t="s">
        <v>1600</v>
      </c>
      <c r="B16" s="281">
        <v>5.52</v>
      </c>
      <c r="C16" s="281" t="s">
        <v>306</v>
      </c>
      <c r="D16" s="281">
        <v>5.48</v>
      </c>
      <c r="E16" s="281" t="s">
        <v>306</v>
      </c>
      <c r="F16" s="281">
        <v>392.82</v>
      </c>
      <c r="G16" s="281">
        <v>182.7</v>
      </c>
      <c r="H16" s="281">
        <v>297.94</v>
      </c>
      <c r="I16" s="281">
        <v>375.82</v>
      </c>
      <c r="J16" s="252">
        <v>40535.040000000008</v>
      </c>
      <c r="K16" s="252">
        <v>56060.799999999988</v>
      </c>
      <c r="L16" s="252">
        <v>32716.51</v>
      </c>
      <c r="M16" s="397">
        <v>84.020799999999994</v>
      </c>
      <c r="N16" s="397">
        <v>84.5</v>
      </c>
      <c r="O16" s="419" t="s">
        <v>1600</v>
      </c>
    </row>
    <row r="17" spans="1:17" s="280" customFormat="1" ht="10.5" customHeight="1">
      <c r="A17" s="394" t="s">
        <v>1695</v>
      </c>
      <c r="B17" s="590">
        <v>6.02</v>
      </c>
      <c r="C17" s="366" t="s">
        <v>306</v>
      </c>
      <c r="D17" s="366">
        <v>5.6476114685594103</v>
      </c>
      <c r="E17" s="366" t="s">
        <v>306</v>
      </c>
      <c r="F17" s="366">
        <v>398.35</v>
      </c>
      <c r="G17" s="366">
        <v>168.58</v>
      </c>
      <c r="H17" s="366">
        <v>306.22000000000003</v>
      </c>
      <c r="I17" s="366">
        <v>380.68</v>
      </c>
      <c r="J17" s="365">
        <v>33674.120000000003</v>
      </c>
      <c r="K17" s="365">
        <v>48517.849384999994</v>
      </c>
      <c r="L17" s="365">
        <v>36037.03</v>
      </c>
      <c r="M17" s="589">
        <v>84.781146000000007</v>
      </c>
      <c r="N17" s="589">
        <v>84.9</v>
      </c>
      <c r="O17" s="395" t="s">
        <v>1695</v>
      </c>
    </row>
    <row r="18" spans="1:17" s="280" customFormat="1" ht="10.5" customHeight="1">
      <c r="A18" s="107" t="s">
        <v>1764</v>
      </c>
      <c r="B18" s="538">
        <f>B30</f>
        <v>5.64</v>
      </c>
      <c r="C18" s="374" t="s">
        <v>306</v>
      </c>
      <c r="D18" s="374">
        <f>D30</f>
        <v>5.56</v>
      </c>
      <c r="E18" s="374" t="s">
        <v>306</v>
      </c>
      <c r="F18" s="374">
        <v>469.01</v>
      </c>
      <c r="G18" s="374">
        <v>164.43</v>
      </c>
      <c r="H18" s="374">
        <v>345.88</v>
      </c>
      <c r="I18" s="374">
        <v>445.5</v>
      </c>
      <c r="J18" s="373">
        <f>SUM(J19:J30)</f>
        <v>38758.32</v>
      </c>
      <c r="K18" s="373">
        <f>SUM(K19:K30)</f>
        <v>54332.079999999994</v>
      </c>
      <c r="L18" s="373">
        <f>L30</f>
        <v>46391.44</v>
      </c>
      <c r="M18" s="539">
        <v>84.806299999999993</v>
      </c>
      <c r="N18" s="539">
        <f>N30</f>
        <v>84.814599999999999</v>
      </c>
      <c r="O18" s="954" t="s">
        <v>1764</v>
      </c>
    </row>
    <row r="19" spans="1:17" s="280" customFormat="1" ht="10.5" customHeight="1">
      <c r="A19" s="438" t="s">
        <v>606</v>
      </c>
      <c r="B19" s="323">
        <v>5.53</v>
      </c>
      <c r="C19" s="323" t="s">
        <v>306</v>
      </c>
      <c r="D19" s="323">
        <v>5.64</v>
      </c>
      <c r="E19" s="323" t="s">
        <v>306</v>
      </c>
      <c r="F19" s="323">
        <v>470.58</v>
      </c>
      <c r="G19" s="323">
        <v>211.53</v>
      </c>
      <c r="H19" s="323">
        <v>380.12</v>
      </c>
      <c r="I19" s="323">
        <v>451.72</v>
      </c>
      <c r="J19" s="507">
        <v>3910.92</v>
      </c>
      <c r="K19" s="317">
        <v>3395.9399999999996</v>
      </c>
      <c r="L19" s="317">
        <v>37288.43</v>
      </c>
      <c r="M19" s="384">
        <v>84.806200000000004</v>
      </c>
      <c r="N19" s="384">
        <v>84.8</v>
      </c>
      <c r="O19" s="385" t="s">
        <v>606</v>
      </c>
      <c r="P19" s="281"/>
    </row>
    <row r="20" spans="1:17" s="280" customFormat="1" ht="10.5" customHeight="1">
      <c r="A20" s="424" t="s">
        <v>607</v>
      </c>
      <c r="B20" s="281">
        <v>5.68</v>
      </c>
      <c r="C20" s="281" t="s">
        <v>306</v>
      </c>
      <c r="D20" s="281">
        <v>5.6547200899186079</v>
      </c>
      <c r="E20" s="281" t="s">
        <v>306</v>
      </c>
      <c r="F20" s="281">
        <v>409.83</v>
      </c>
      <c r="G20" s="281">
        <v>200.44</v>
      </c>
      <c r="H20" s="281">
        <v>380.28</v>
      </c>
      <c r="I20" s="281">
        <v>398.06</v>
      </c>
      <c r="J20" s="488">
        <v>2967.16</v>
      </c>
      <c r="K20" s="252">
        <v>3614.51</v>
      </c>
      <c r="L20" s="252">
        <v>39040.14</v>
      </c>
      <c r="M20" s="397">
        <v>84.833699999999993</v>
      </c>
      <c r="N20" s="397">
        <v>84.8292</v>
      </c>
      <c r="O20" s="419" t="s">
        <v>607</v>
      </c>
      <c r="P20" s="281"/>
    </row>
    <row r="21" spans="1:17" s="280" customFormat="1" ht="10.5" customHeight="1">
      <c r="A21" s="438" t="s">
        <v>601</v>
      </c>
      <c r="B21" s="323">
        <v>5.97</v>
      </c>
      <c r="C21" s="323" t="s">
        <v>306</v>
      </c>
      <c r="D21" s="323">
        <v>5.6907183725365407</v>
      </c>
      <c r="E21" s="323" t="s">
        <v>306</v>
      </c>
      <c r="F21" s="323">
        <v>427.32</v>
      </c>
      <c r="G21" s="323">
        <v>206.9</v>
      </c>
      <c r="H21" s="323">
        <v>382.45</v>
      </c>
      <c r="I21" s="323">
        <v>413.83</v>
      </c>
      <c r="J21" s="507">
        <v>3018.76</v>
      </c>
      <c r="K21" s="317">
        <v>3992.5000000000005</v>
      </c>
      <c r="L21" s="317">
        <v>39313.980000000003</v>
      </c>
      <c r="M21" s="384">
        <v>84.802000000000007</v>
      </c>
      <c r="N21" s="384">
        <v>84.835999999999999</v>
      </c>
      <c r="O21" s="385" t="s">
        <v>601</v>
      </c>
      <c r="P21" s="281"/>
    </row>
    <row r="22" spans="1:17" s="280" customFormat="1" ht="10.5" customHeight="1">
      <c r="A22" s="424" t="s">
        <v>608</v>
      </c>
      <c r="B22" s="281">
        <v>6.44</v>
      </c>
      <c r="C22" s="281" t="s">
        <v>306</v>
      </c>
      <c r="D22" s="281">
        <v>5.7740564589879639</v>
      </c>
      <c r="E22" s="281" t="s">
        <v>306</v>
      </c>
      <c r="F22" s="30">
        <v>429.25</v>
      </c>
      <c r="G22" s="281">
        <v>200.76</v>
      </c>
      <c r="H22" s="281">
        <v>382.29</v>
      </c>
      <c r="I22" s="281">
        <v>415.23</v>
      </c>
      <c r="J22" s="488">
        <v>2947.8</v>
      </c>
      <c r="K22" s="252">
        <v>3772.1999999999994</v>
      </c>
      <c r="L22" s="252">
        <v>41005.79</v>
      </c>
      <c r="M22" s="397">
        <v>84.801699999999997</v>
      </c>
      <c r="N22" s="397">
        <v>84.800399999999996</v>
      </c>
      <c r="O22" s="419" t="s">
        <v>608</v>
      </c>
      <c r="P22" s="281"/>
    </row>
    <row r="23" spans="1:17" s="280" customFormat="1" ht="10.5" customHeight="1">
      <c r="A23" s="438" t="s">
        <v>609</v>
      </c>
      <c r="B23" s="323">
        <v>5.52</v>
      </c>
      <c r="C23" s="323" t="s">
        <v>306</v>
      </c>
      <c r="D23" s="323">
        <v>5.7302638415250406</v>
      </c>
      <c r="E23" s="323" t="s">
        <v>306</v>
      </c>
      <c r="F23" s="323">
        <v>449.7</v>
      </c>
      <c r="G23" s="323">
        <v>170.7</v>
      </c>
      <c r="H23" s="323">
        <v>281.02999999999997</v>
      </c>
      <c r="I23" s="323">
        <v>423.72</v>
      </c>
      <c r="J23" s="507">
        <v>3078.95</v>
      </c>
      <c r="K23" s="317">
        <v>4147.8</v>
      </c>
      <c r="L23" s="317">
        <v>41269.22</v>
      </c>
      <c r="M23" s="384">
        <v>84.800299999999993</v>
      </c>
      <c r="N23" s="384">
        <v>84.8</v>
      </c>
      <c r="O23" s="385" t="s">
        <v>609</v>
      </c>
      <c r="P23" s="281"/>
    </row>
    <row r="24" spans="1:17" s="280" customFormat="1" ht="10.5" customHeight="1">
      <c r="A24" s="424" t="s">
        <v>602</v>
      </c>
      <c r="B24" s="281">
        <v>5.29</v>
      </c>
      <c r="C24" s="281" t="s">
        <v>306</v>
      </c>
      <c r="D24" s="281">
        <v>5.691074747462066</v>
      </c>
      <c r="E24" s="281" t="s">
        <v>306</v>
      </c>
      <c r="F24" s="281">
        <v>471.52</v>
      </c>
      <c r="G24" s="281">
        <v>171.66</v>
      </c>
      <c r="H24" s="281">
        <v>261.08999999999997</v>
      </c>
      <c r="I24" s="281">
        <v>441.27</v>
      </c>
      <c r="J24" s="488">
        <v>3309.86</v>
      </c>
      <c r="K24" s="252">
        <v>4640.3999999999996</v>
      </c>
      <c r="L24" s="252">
        <v>43166.52</v>
      </c>
      <c r="M24" s="397">
        <v>84.8001</v>
      </c>
      <c r="N24" s="397">
        <v>84.801100000000005</v>
      </c>
      <c r="O24" s="419" t="s">
        <v>602</v>
      </c>
      <c r="P24" s="281"/>
    </row>
    <row r="25" spans="1:17" s="280" customFormat="1" ht="10.5" customHeight="1">
      <c r="A25" s="438" t="s">
        <v>610</v>
      </c>
      <c r="B25" s="323">
        <v>5.0199999999999996</v>
      </c>
      <c r="C25" s="323" t="s">
        <v>306</v>
      </c>
      <c r="D25" s="323">
        <v>5.6430352022812658</v>
      </c>
      <c r="E25" s="323" t="s">
        <v>306</v>
      </c>
      <c r="F25" s="323">
        <v>484.63</v>
      </c>
      <c r="G25" s="323">
        <v>143.16999999999999</v>
      </c>
      <c r="H25" s="323">
        <v>277.64999999999998</v>
      </c>
      <c r="I25" s="323">
        <v>452.79</v>
      </c>
      <c r="J25" s="507">
        <v>3436.79</v>
      </c>
      <c r="K25" s="317">
        <v>4569.2999999999993</v>
      </c>
      <c r="L25" s="317">
        <v>42862.96</v>
      </c>
      <c r="M25" s="384">
        <v>84.8005</v>
      </c>
      <c r="N25" s="384">
        <v>84.802999999999997</v>
      </c>
      <c r="O25" s="385" t="s">
        <v>610</v>
      </c>
      <c r="P25" s="281"/>
    </row>
    <row r="26" spans="1:17" s="280" customFormat="1" ht="10.5" customHeight="1">
      <c r="A26" s="424" t="s">
        <v>611</v>
      </c>
      <c r="B26" s="281">
        <v>5.32</v>
      </c>
      <c r="C26" s="281" t="s">
        <v>306</v>
      </c>
      <c r="D26" s="281">
        <v>5.6304473421008305</v>
      </c>
      <c r="E26" s="281" t="s">
        <v>306</v>
      </c>
      <c r="F26" s="281">
        <v>483.78</v>
      </c>
      <c r="G26" s="281">
        <v>132.5</v>
      </c>
      <c r="H26" s="281">
        <v>264.25</v>
      </c>
      <c r="I26" s="281">
        <v>450.5</v>
      </c>
      <c r="J26" s="488">
        <v>3192.08</v>
      </c>
      <c r="K26" s="252">
        <v>4697.2000000000007</v>
      </c>
      <c r="L26" s="252">
        <v>44016.54</v>
      </c>
      <c r="M26" s="397">
        <v>84.800299999999993</v>
      </c>
      <c r="N26" s="397">
        <v>84.800700000000006</v>
      </c>
      <c r="O26" s="419" t="s">
        <v>611</v>
      </c>
      <c r="P26" s="281"/>
    </row>
    <row r="27" spans="1:17" s="280" customFormat="1" ht="10.5" customHeight="1">
      <c r="A27" s="438" t="s">
        <v>603</v>
      </c>
      <c r="B27" s="323">
        <v>5.47</v>
      </c>
      <c r="C27" s="323" t="s">
        <v>306</v>
      </c>
      <c r="D27" s="323">
        <v>5.6286025282636043</v>
      </c>
      <c r="E27" s="323" t="s">
        <v>306</v>
      </c>
      <c r="F27" s="323">
        <v>496.73</v>
      </c>
      <c r="G27" s="323">
        <v>134.11000000000001</v>
      </c>
      <c r="H27" s="323">
        <v>368.09</v>
      </c>
      <c r="I27" s="323">
        <v>470.17</v>
      </c>
      <c r="J27" s="507">
        <v>3076.03</v>
      </c>
      <c r="K27" s="317">
        <v>5483.45</v>
      </c>
      <c r="L27" s="317">
        <v>43440.77</v>
      </c>
      <c r="M27" s="384">
        <v>84.800799999999995</v>
      </c>
      <c r="N27" s="384">
        <v>84.801900000000003</v>
      </c>
      <c r="O27" s="385" t="s">
        <v>603</v>
      </c>
      <c r="P27" s="252"/>
    </row>
    <row r="28" spans="1:17" s="280" customFormat="1" ht="10.5" customHeight="1">
      <c r="A28" s="424" t="s">
        <v>612</v>
      </c>
      <c r="B28" s="281">
        <v>5.56</v>
      </c>
      <c r="C28" s="281" t="s">
        <v>306</v>
      </c>
      <c r="D28" s="281">
        <v>5.5962455762425423</v>
      </c>
      <c r="E28" s="281" t="s">
        <v>306</v>
      </c>
      <c r="F28" s="281">
        <v>504.07</v>
      </c>
      <c r="G28" s="281">
        <v>133.38</v>
      </c>
      <c r="H28" s="281">
        <v>400.12</v>
      </c>
      <c r="I28" s="281">
        <v>479.11</v>
      </c>
      <c r="J28" s="488">
        <v>3134.38</v>
      </c>
      <c r="K28" s="252">
        <v>4960.9800000000005</v>
      </c>
      <c r="L28" s="252">
        <v>44950.42</v>
      </c>
      <c r="M28" s="397">
        <v>84.800600000000003</v>
      </c>
      <c r="N28" s="397">
        <v>84.8</v>
      </c>
      <c r="O28" s="419" t="s">
        <v>612</v>
      </c>
      <c r="P28" s="1146"/>
    </row>
    <row r="29" spans="1:17" s="280" customFormat="1" ht="10.5" customHeight="1">
      <c r="A29" s="438" t="s">
        <v>613</v>
      </c>
      <c r="B29" s="323">
        <v>5.26</v>
      </c>
      <c r="C29" s="323" t="s">
        <v>306</v>
      </c>
      <c r="D29" s="323">
        <v>5.5874241588527385</v>
      </c>
      <c r="E29" s="323" t="s">
        <v>306</v>
      </c>
      <c r="F29" s="323">
        <v>477.97</v>
      </c>
      <c r="G29" s="323">
        <v>128.86000000000001</v>
      </c>
      <c r="H29" s="323">
        <v>386.03</v>
      </c>
      <c r="I29" s="323">
        <v>454.94</v>
      </c>
      <c r="J29" s="507">
        <v>3108.09</v>
      </c>
      <c r="K29" s="317">
        <v>4967.0999999999995</v>
      </c>
      <c r="L29" s="317">
        <v>44960.52</v>
      </c>
      <c r="M29" s="384">
        <v>84.800299999999993</v>
      </c>
      <c r="N29" s="384">
        <v>84.8</v>
      </c>
      <c r="O29" s="385" t="s">
        <v>613</v>
      </c>
      <c r="P29" s="252"/>
    </row>
    <row r="30" spans="1:17" s="280" customFormat="1" ht="10.5" customHeight="1">
      <c r="A30" s="424" t="s">
        <v>604</v>
      </c>
      <c r="B30" s="281">
        <v>5.64</v>
      </c>
      <c r="C30" s="281" t="s">
        <v>306</v>
      </c>
      <c r="D30" s="281">
        <v>5.56</v>
      </c>
      <c r="E30" s="281" t="s">
        <v>306</v>
      </c>
      <c r="F30" s="281">
        <v>523.45000000000005</v>
      </c>
      <c r="G30" s="281">
        <v>138.4</v>
      </c>
      <c r="H30" s="281">
        <v>386.83</v>
      </c>
      <c r="I30" s="281">
        <v>495.25</v>
      </c>
      <c r="J30" s="488">
        <v>3577.5</v>
      </c>
      <c r="K30" s="252">
        <v>6090.6999999999989</v>
      </c>
      <c r="L30" s="252">
        <v>46391.44</v>
      </c>
      <c r="M30" s="397">
        <v>84.817099999999996</v>
      </c>
      <c r="N30" s="397">
        <v>84.814599999999999</v>
      </c>
      <c r="O30" s="419" t="s">
        <v>604</v>
      </c>
      <c r="P30" s="252"/>
    </row>
    <row r="31" spans="1:17" s="280" customFormat="1" ht="11.25" customHeight="1">
      <c r="A31" s="1253" t="s">
        <v>2165</v>
      </c>
      <c r="B31" s="590">
        <f>B43</f>
        <v>7.56</v>
      </c>
      <c r="C31" s="366" t="s">
        <v>306</v>
      </c>
      <c r="D31" s="366">
        <f>D43</f>
        <v>6.15</v>
      </c>
      <c r="E31" s="366" t="s">
        <v>306</v>
      </c>
      <c r="F31" s="366">
        <v>515.78</v>
      </c>
      <c r="G31" s="366">
        <v>164.07</v>
      </c>
      <c r="H31" s="366">
        <v>356.68</v>
      </c>
      <c r="I31" s="366">
        <v>487.29</v>
      </c>
      <c r="J31" s="365">
        <f>SUM(J32:J43)</f>
        <v>52082.659999999996</v>
      </c>
      <c r="K31" s="365">
        <f>SUM(K32:K43)</f>
        <v>79573.499999999985</v>
      </c>
      <c r="L31" s="365">
        <f>L43</f>
        <v>41826.729767739998</v>
      </c>
      <c r="M31" s="589">
        <v>86.392700000000005</v>
      </c>
      <c r="N31" s="589">
        <f>N43</f>
        <v>93.45</v>
      </c>
      <c r="O31" s="395" t="s">
        <v>2165</v>
      </c>
      <c r="P31" s="252"/>
    </row>
    <row r="32" spans="1:17" s="280" customFormat="1" ht="10.5" customHeight="1">
      <c r="A32" s="424" t="s">
        <v>606</v>
      </c>
      <c r="B32" s="281">
        <v>5.36</v>
      </c>
      <c r="C32" s="281" t="s">
        <v>306</v>
      </c>
      <c r="D32" s="281">
        <v>5.5433772763430422</v>
      </c>
      <c r="E32" s="281" t="s">
        <v>306</v>
      </c>
      <c r="F32" s="281">
        <v>471.44</v>
      </c>
      <c r="G32" s="281">
        <v>170.74</v>
      </c>
      <c r="H32" s="281">
        <v>381.62</v>
      </c>
      <c r="I32" s="281">
        <v>450.76</v>
      </c>
      <c r="J32" s="488">
        <v>3473.43</v>
      </c>
      <c r="K32" s="252">
        <v>4552.5600000000004</v>
      </c>
      <c r="L32" s="252">
        <v>45842.2</v>
      </c>
      <c r="M32" s="397">
        <v>84.803200000000004</v>
      </c>
      <c r="N32" s="397">
        <v>84.806100000000001</v>
      </c>
      <c r="O32" s="419" t="s">
        <v>606</v>
      </c>
      <c r="P32" s="397"/>
      <c r="Q32" s="397"/>
    </row>
    <row r="33" spans="1:17" s="280" customFormat="1" ht="10.5" customHeight="1">
      <c r="A33" s="438" t="s">
        <v>607</v>
      </c>
      <c r="B33" s="323">
        <v>5.54</v>
      </c>
      <c r="C33" s="323" t="s">
        <v>306</v>
      </c>
      <c r="D33" s="323">
        <v>5.5322003983305335</v>
      </c>
      <c r="E33" s="323" t="s">
        <v>306</v>
      </c>
      <c r="F33" s="323">
        <v>480.21</v>
      </c>
      <c r="G33" s="323">
        <v>172.08</v>
      </c>
      <c r="H33" s="323">
        <v>416.89</v>
      </c>
      <c r="I33" s="323">
        <v>461.3</v>
      </c>
      <c r="J33" s="507">
        <v>3383.07</v>
      </c>
      <c r="K33" s="317">
        <v>5709.3</v>
      </c>
      <c r="L33" s="317">
        <v>48059.993918089996</v>
      </c>
      <c r="M33" s="384">
        <v>84.969099999999997</v>
      </c>
      <c r="N33" s="384">
        <v>85.2</v>
      </c>
      <c r="O33" s="385" t="s">
        <v>607</v>
      </c>
      <c r="P33" s="397"/>
      <c r="Q33" s="397"/>
    </row>
    <row r="34" spans="1:17" s="280" customFormat="1" ht="10.5" customHeight="1">
      <c r="A34" s="424" t="s">
        <v>601</v>
      </c>
      <c r="B34" s="281">
        <v>5.59</v>
      </c>
      <c r="C34" s="281" t="s">
        <v>306</v>
      </c>
      <c r="D34" s="281">
        <v>5.5</v>
      </c>
      <c r="E34" s="281" t="s">
        <v>306</v>
      </c>
      <c r="F34" s="281">
        <v>544.75</v>
      </c>
      <c r="G34" s="281">
        <v>167.81</v>
      </c>
      <c r="H34" s="281">
        <v>416.59</v>
      </c>
      <c r="I34" s="281">
        <v>517.58000000000004</v>
      </c>
      <c r="J34" s="488">
        <v>4165.45</v>
      </c>
      <c r="K34" s="252">
        <v>6089.4</v>
      </c>
      <c r="L34" s="252">
        <v>46199.804870009997</v>
      </c>
      <c r="M34" s="397">
        <v>85.264499999999998</v>
      </c>
      <c r="N34" s="397">
        <v>85.5</v>
      </c>
      <c r="O34" s="419" t="s">
        <v>601</v>
      </c>
      <c r="P34" s="397"/>
      <c r="Q34" s="397"/>
    </row>
    <row r="35" spans="1:17" s="280" customFormat="1" ht="10.5" customHeight="1">
      <c r="A35" s="438" t="s">
        <v>608</v>
      </c>
      <c r="B35" s="323">
        <v>5.7</v>
      </c>
      <c r="C35" s="323" t="s">
        <v>306</v>
      </c>
      <c r="D35" s="323">
        <v>5.44</v>
      </c>
      <c r="E35" s="323" t="s">
        <v>306</v>
      </c>
      <c r="F35" s="323">
        <v>521.66</v>
      </c>
      <c r="G35" s="323">
        <v>168.21</v>
      </c>
      <c r="H35" s="323">
        <v>403.46</v>
      </c>
      <c r="I35" s="323">
        <v>496.35</v>
      </c>
      <c r="J35" s="507">
        <v>4727.53</v>
      </c>
      <c r="K35" s="317">
        <v>6152.2</v>
      </c>
      <c r="L35" s="317">
        <v>46459.267033059994</v>
      </c>
      <c r="M35" s="384">
        <v>85.610699999999994</v>
      </c>
      <c r="N35" s="384">
        <v>85.666700000000006</v>
      </c>
      <c r="O35" s="385" t="s">
        <v>608</v>
      </c>
      <c r="P35" s="397"/>
      <c r="Q35" s="397"/>
    </row>
    <row r="36" spans="1:17" s="280" customFormat="1" ht="10.5" customHeight="1">
      <c r="A36" s="424" t="s">
        <v>609</v>
      </c>
      <c r="B36" s="281">
        <v>5.98</v>
      </c>
      <c r="C36" s="281" t="s">
        <v>306</v>
      </c>
      <c r="D36" s="281">
        <v>5.4813491177127638</v>
      </c>
      <c r="E36" s="281" t="s">
        <v>306</v>
      </c>
      <c r="F36" s="281">
        <v>511.96</v>
      </c>
      <c r="G36" s="281">
        <v>160.47999999999999</v>
      </c>
      <c r="H36" s="281">
        <v>292.02999999999997</v>
      </c>
      <c r="I36" s="281">
        <v>478.63</v>
      </c>
      <c r="J36" s="488">
        <v>4041.39</v>
      </c>
      <c r="K36" s="252">
        <v>6894.41</v>
      </c>
      <c r="L36" s="252">
        <v>44881.138574560006</v>
      </c>
      <c r="M36" s="397">
        <v>85.774699999999996</v>
      </c>
      <c r="N36" s="397">
        <v>85.8</v>
      </c>
      <c r="O36" s="419" t="s">
        <v>609</v>
      </c>
      <c r="P36" s="397"/>
      <c r="Q36" s="397"/>
    </row>
    <row r="37" spans="1:17" s="280" customFormat="1" ht="10.5" customHeight="1">
      <c r="A37" s="438" t="s">
        <v>602</v>
      </c>
      <c r="B37" s="323">
        <v>6.05</v>
      </c>
      <c r="C37" s="323" t="s">
        <v>306</v>
      </c>
      <c r="D37" s="323">
        <v>5.54</v>
      </c>
      <c r="E37" s="323" t="s">
        <v>306</v>
      </c>
      <c r="F37" s="323">
        <v>545.79</v>
      </c>
      <c r="G37" s="323">
        <v>161.79</v>
      </c>
      <c r="H37" s="323">
        <v>280.18</v>
      </c>
      <c r="I37" s="323">
        <v>507.37</v>
      </c>
      <c r="J37" s="507">
        <v>4907.68</v>
      </c>
      <c r="K37" s="317">
        <v>7643.4</v>
      </c>
      <c r="L37" s="317">
        <v>46153.933091890001</v>
      </c>
      <c r="M37" s="384">
        <v>85.8</v>
      </c>
      <c r="N37" s="384">
        <v>85.8</v>
      </c>
      <c r="O37" s="385" t="s">
        <v>602</v>
      </c>
      <c r="P37" s="397"/>
      <c r="Q37" s="397"/>
    </row>
    <row r="38" spans="1:17" s="295" customFormat="1" ht="10.5" customHeight="1">
      <c r="A38" s="278" t="s">
        <v>610</v>
      </c>
      <c r="B38" s="281">
        <v>5.86</v>
      </c>
      <c r="C38" s="281" t="s">
        <v>306</v>
      </c>
      <c r="D38" s="281">
        <v>5.62</v>
      </c>
      <c r="E38" s="281" t="s">
        <v>306</v>
      </c>
      <c r="F38" s="281">
        <v>570.6</v>
      </c>
      <c r="G38" s="281">
        <v>162.25</v>
      </c>
      <c r="H38" s="281">
        <v>297.64999999999998</v>
      </c>
      <c r="I38" s="281">
        <v>530.5</v>
      </c>
      <c r="J38" s="252">
        <v>4850.37</v>
      </c>
      <c r="K38" s="252">
        <v>6864.4299999999994</v>
      </c>
      <c r="L38" s="252">
        <v>44951.223106760001</v>
      </c>
      <c r="M38" s="397">
        <v>85.954499999999996</v>
      </c>
      <c r="N38" s="397">
        <v>86</v>
      </c>
      <c r="O38" s="419" t="s">
        <v>610</v>
      </c>
      <c r="P38" s="1370"/>
    </row>
    <row r="39" spans="1:17" s="295" customFormat="1" ht="10.5" customHeight="1">
      <c r="A39" s="354" t="s">
        <v>611</v>
      </c>
      <c r="B39" s="323">
        <v>6.17</v>
      </c>
      <c r="C39" s="323" t="s">
        <v>306</v>
      </c>
      <c r="D39" s="323">
        <v>5.6861320951678174</v>
      </c>
      <c r="E39" s="323" t="s">
        <v>306</v>
      </c>
      <c r="F39" s="323">
        <v>521.51</v>
      </c>
      <c r="G39" s="323">
        <v>162.13</v>
      </c>
      <c r="H39" s="323">
        <v>272.17</v>
      </c>
      <c r="I39" s="323">
        <v>485.49</v>
      </c>
      <c r="J39" s="317">
        <v>4294.53</v>
      </c>
      <c r="K39" s="317">
        <v>6491.6</v>
      </c>
      <c r="L39" s="317">
        <v>45947.761214569997</v>
      </c>
      <c r="M39" s="384">
        <v>86</v>
      </c>
      <c r="N39" s="384">
        <v>86</v>
      </c>
      <c r="O39" s="385" t="s">
        <v>611</v>
      </c>
      <c r="P39" s="1370"/>
    </row>
    <row r="40" spans="1:17" s="295" customFormat="1" ht="10.5" customHeight="1">
      <c r="A40" s="278" t="s">
        <v>603</v>
      </c>
      <c r="B40" s="281">
        <v>6.22</v>
      </c>
      <c r="C40" s="281" t="s">
        <v>306</v>
      </c>
      <c r="D40" s="281">
        <v>5.7496501613063966</v>
      </c>
      <c r="E40" s="281" t="s">
        <v>306</v>
      </c>
      <c r="F40" s="281">
        <v>520.9</v>
      </c>
      <c r="G40" s="281">
        <v>170.52</v>
      </c>
      <c r="H40" s="281">
        <v>272.38</v>
      </c>
      <c r="I40" s="281">
        <v>485.35</v>
      </c>
      <c r="J40" s="252">
        <v>4762.22</v>
      </c>
      <c r="K40" s="252">
        <v>7629.5</v>
      </c>
      <c r="L40" s="252">
        <v>44146.782365560008</v>
      </c>
      <c r="M40" s="397">
        <v>86.063599999999994</v>
      </c>
      <c r="N40" s="397">
        <v>86.2</v>
      </c>
      <c r="O40" s="419" t="s">
        <v>603</v>
      </c>
      <c r="P40" s="1370"/>
    </row>
    <row r="41" spans="1:17" s="295" customFormat="1" ht="10.5" customHeight="1">
      <c r="A41" s="354" t="s">
        <v>612</v>
      </c>
      <c r="B41" s="323">
        <v>6.29</v>
      </c>
      <c r="C41" s="323" t="s">
        <v>306</v>
      </c>
      <c r="D41" s="323">
        <v>5.8114153321578765</v>
      </c>
      <c r="E41" s="323" t="s">
        <v>306</v>
      </c>
      <c r="F41" s="323">
        <v>489.73</v>
      </c>
      <c r="G41" s="323">
        <v>170.92</v>
      </c>
      <c r="H41" s="323">
        <v>440.99</v>
      </c>
      <c r="I41" s="323">
        <v>471.5</v>
      </c>
      <c r="J41" s="317">
        <v>4738.67</v>
      </c>
      <c r="K41" s="317">
        <v>6958.9</v>
      </c>
      <c r="L41" s="317">
        <v>44017.551984780002</v>
      </c>
      <c r="M41" s="384">
        <v>86.237399999999994</v>
      </c>
      <c r="N41" s="384">
        <v>86.45</v>
      </c>
      <c r="O41" s="385" t="s">
        <v>612</v>
      </c>
      <c r="P41" s="1370"/>
    </row>
    <row r="42" spans="1:17" s="295" customFormat="1" ht="10.5" customHeight="1">
      <c r="A42" s="278" t="s">
        <v>613</v>
      </c>
      <c r="B42" s="281">
        <v>7.42</v>
      </c>
      <c r="C42" s="281" t="s">
        <v>306</v>
      </c>
      <c r="D42" s="281">
        <v>5.9894246228676229</v>
      </c>
      <c r="E42" s="281" t="s">
        <v>306</v>
      </c>
      <c r="F42" s="281">
        <v>459.57</v>
      </c>
      <c r="G42" s="281">
        <v>151.18</v>
      </c>
      <c r="H42" s="281">
        <v>403.03</v>
      </c>
      <c r="I42" s="281">
        <v>441.19</v>
      </c>
      <c r="J42" s="252">
        <v>3830.29</v>
      </c>
      <c r="K42" s="252">
        <v>6881.4</v>
      </c>
      <c r="L42" s="252">
        <v>42202.00256062999</v>
      </c>
      <c r="M42" s="397">
        <v>87.341700000000003</v>
      </c>
      <c r="N42" s="397">
        <v>89</v>
      </c>
      <c r="O42" s="419" t="s">
        <v>613</v>
      </c>
      <c r="P42" s="1370"/>
    </row>
    <row r="43" spans="1:17" s="295" customFormat="1" ht="10.5" customHeight="1">
      <c r="A43" s="354" t="s">
        <v>604</v>
      </c>
      <c r="B43" s="323">
        <v>7.56</v>
      </c>
      <c r="C43" s="323" t="s">
        <v>306</v>
      </c>
      <c r="D43" s="323">
        <v>6.15</v>
      </c>
      <c r="E43" s="323" t="s">
        <v>306</v>
      </c>
      <c r="F43" s="323">
        <v>551.27</v>
      </c>
      <c r="G43" s="323">
        <v>150.77000000000001</v>
      </c>
      <c r="H43" s="323">
        <v>403.13</v>
      </c>
      <c r="I43" s="323">
        <v>521.45000000000005</v>
      </c>
      <c r="J43" s="317">
        <v>4908.03</v>
      </c>
      <c r="K43" s="317">
        <v>7706.4</v>
      </c>
      <c r="L43" s="317">
        <v>41826.729767739998</v>
      </c>
      <c r="M43" s="384">
        <v>92.135800000000003</v>
      </c>
      <c r="N43" s="384">
        <v>93.45</v>
      </c>
      <c r="O43" s="385" t="s">
        <v>604</v>
      </c>
      <c r="P43" s="1370"/>
    </row>
    <row r="44" spans="1:17" s="295" customFormat="1" ht="12.75" customHeight="1">
      <c r="A44" s="396" t="s">
        <v>2482</v>
      </c>
      <c r="B44" s="281"/>
      <c r="C44" s="281"/>
      <c r="D44" s="281"/>
      <c r="E44" s="281"/>
      <c r="F44" s="281"/>
      <c r="G44" s="281"/>
      <c r="H44" s="281"/>
      <c r="I44" s="281"/>
      <c r="J44" s="252"/>
      <c r="K44" s="252"/>
      <c r="L44" s="252"/>
      <c r="M44" s="397"/>
      <c r="N44" s="397"/>
      <c r="O44" s="398" t="s">
        <v>2482</v>
      </c>
      <c r="P44" s="1370"/>
    </row>
    <row r="45" spans="1:17" s="295" customFormat="1" ht="10.5" customHeight="1">
      <c r="A45" s="354" t="s">
        <v>606</v>
      </c>
      <c r="B45" s="323">
        <v>7.48</v>
      </c>
      <c r="C45" s="323" t="s">
        <v>306</v>
      </c>
      <c r="D45" s="323">
        <v>6.325224955699249</v>
      </c>
      <c r="E45" s="323" t="s">
        <v>306</v>
      </c>
      <c r="F45" s="323">
        <v>487.4</v>
      </c>
      <c r="G45" s="323">
        <v>152.25</v>
      </c>
      <c r="H45" s="323">
        <v>435.03</v>
      </c>
      <c r="I45" s="323">
        <v>468.15</v>
      </c>
      <c r="J45" s="317">
        <v>3984.82</v>
      </c>
      <c r="K45" s="317">
        <v>7084.4</v>
      </c>
      <c r="L45" s="317">
        <v>39599.907246380004</v>
      </c>
      <c r="M45" s="384">
        <v>93.956800000000001</v>
      </c>
      <c r="N45" s="384">
        <v>94.7</v>
      </c>
      <c r="O45" s="385" t="s">
        <v>606</v>
      </c>
      <c r="P45" s="1641"/>
      <c r="Q45" s="1642"/>
    </row>
    <row r="46" spans="1:17" s="295" customFormat="1" ht="10.5" customHeight="1">
      <c r="A46" s="278" t="s">
        <v>607</v>
      </c>
      <c r="B46" s="281">
        <v>9.52</v>
      </c>
      <c r="C46" s="281" t="s">
        <v>306</v>
      </c>
      <c r="D46" s="281">
        <v>6.6609199681544995</v>
      </c>
      <c r="E46" s="281" t="s">
        <v>306</v>
      </c>
      <c r="F46" s="281">
        <v>517.33000000000004</v>
      </c>
      <c r="G46" s="281">
        <v>158.08000000000001</v>
      </c>
      <c r="H46" s="281">
        <v>443.74</v>
      </c>
      <c r="I46" s="281">
        <v>495.31</v>
      </c>
      <c r="J46" s="252">
        <v>4607</v>
      </c>
      <c r="K46" s="252">
        <v>7305.7999999999993</v>
      </c>
      <c r="L46" s="252">
        <v>39065.793945680001</v>
      </c>
      <c r="M46" s="397">
        <v>94.9</v>
      </c>
      <c r="N46" s="397">
        <v>95</v>
      </c>
      <c r="O46" s="419" t="s">
        <v>607</v>
      </c>
      <c r="P46" s="1641"/>
      <c r="Q46" s="1642"/>
    </row>
    <row r="47" spans="1:17" s="295" customFormat="1" ht="10.5" customHeight="1">
      <c r="A47" s="354" t="s">
        <v>601</v>
      </c>
      <c r="B47" s="323">
        <v>9.1</v>
      </c>
      <c r="C47" s="323" t="s">
        <v>306</v>
      </c>
      <c r="D47" s="323">
        <v>6.9598855175087682</v>
      </c>
      <c r="E47" s="323" t="s">
        <v>306</v>
      </c>
      <c r="F47" s="323">
        <v>496.1</v>
      </c>
      <c r="G47" s="323">
        <v>189.2</v>
      </c>
      <c r="H47" s="323">
        <v>432.49</v>
      </c>
      <c r="I47" s="323">
        <v>477.23</v>
      </c>
      <c r="J47" s="317">
        <v>3905.07</v>
      </c>
      <c r="K47" s="317">
        <v>6559.6000000000013</v>
      </c>
      <c r="L47" s="317">
        <v>36476.406830829997</v>
      </c>
      <c r="M47" s="384">
        <v>95.619</v>
      </c>
      <c r="N47" s="384">
        <v>96</v>
      </c>
      <c r="O47" s="385" t="s">
        <v>601</v>
      </c>
      <c r="P47" s="1641"/>
      <c r="Q47" s="1642"/>
    </row>
    <row r="48" spans="1:17" s="295" customFormat="1" ht="10.5" customHeight="1">
      <c r="A48" s="278" t="s">
        <v>608</v>
      </c>
      <c r="B48" s="281">
        <v>8.91</v>
      </c>
      <c r="C48" s="281" t="s">
        <v>306</v>
      </c>
      <c r="D48" s="281">
        <v>7.2341355183939138</v>
      </c>
      <c r="E48" s="281" t="s">
        <v>306</v>
      </c>
      <c r="F48" s="281" t="s">
        <v>306</v>
      </c>
      <c r="G48" s="281" t="s">
        <v>306</v>
      </c>
      <c r="H48" s="281" t="s">
        <v>306</v>
      </c>
      <c r="I48" s="281" t="s">
        <v>306</v>
      </c>
      <c r="J48" s="252">
        <v>4356.62</v>
      </c>
      <c r="K48" s="252">
        <v>6412.04</v>
      </c>
      <c r="L48" s="252">
        <v>35808.734135990002</v>
      </c>
      <c r="M48" s="397">
        <v>96.65</v>
      </c>
      <c r="N48" s="397">
        <v>97</v>
      </c>
      <c r="O48" s="419" t="s">
        <v>608</v>
      </c>
      <c r="P48" s="1641"/>
      <c r="Q48" s="1642"/>
    </row>
    <row r="49" spans="1:17" s="295" customFormat="1" ht="10.5" customHeight="1" thickBot="1">
      <c r="A49" s="962" t="s">
        <v>609</v>
      </c>
      <c r="B49" s="524">
        <v>8.85</v>
      </c>
      <c r="C49" s="524" t="s">
        <v>306</v>
      </c>
      <c r="D49" s="524">
        <v>7.4767067592749425</v>
      </c>
      <c r="E49" s="524" t="s">
        <v>306</v>
      </c>
      <c r="F49" s="524" t="s">
        <v>306</v>
      </c>
      <c r="G49" s="524" t="s">
        <v>306</v>
      </c>
      <c r="H49" s="524" t="s">
        <v>306</v>
      </c>
      <c r="I49" s="524" t="s">
        <v>306</v>
      </c>
      <c r="J49" s="695">
        <v>5092.5600000000004</v>
      </c>
      <c r="K49" s="695" t="s">
        <v>306</v>
      </c>
      <c r="L49" s="695">
        <v>33789.615167439995</v>
      </c>
      <c r="M49" s="1684">
        <v>97.636399999999995</v>
      </c>
      <c r="N49" s="1684">
        <v>98</v>
      </c>
      <c r="O49" s="943" t="s">
        <v>609</v>
      </c>
      <c r="P49" s="1641"/>
      <c r="Q49" s="1642"/>
    </row>
    <row r="50" spans="1:17" s="40" customFormat="1" ht="10.5" customHeight="1">
      <c r="A50" s="399" t="s">
        <v>1517</v>
      </c>
      <c r="B50" s="1851" t="s">
        <v>1447</v>
      </c>
      <c r="C50" s="1851"/>
      <c r="D50" s="1851"/>
      <c r="E50" s="1851"/>
      <c r="F50" s="1851"/>
      <c r="G50" s="157"/>
      <c r="H50" s="157"/>
      <c r="I50" s="157"/>
      <c r="J50" s="400" t="s">
        <v>1519</v>
      </c>
      <c r="K50" s="1851" t="s">
        <v>1701</v>
      </c>
      <c r="L50" s="1851"/>
      <c r="M50" s="157"/>
      <c r="N50" s="157"/>
      <c r="O50" s="239"/>
      <c r="P50" s="1148"/>
    </row>
    <row r="51" spans="1:17" s="40" customFormat="1" ht="8.25" customHeight="1">
      <c r="B51" s="1871" t="s">
        <v>1446</v>
      </c>
      <c r="C51" s="1871"/>
      <c r="D51" s="1871"/>
      <c r="E51" s="1871"/>
      <c r="F51" s="1871"/>
      <c r="G51" s="1871"/>
      <c r="H51" s="1871"/>
      <c r="I51" s="1871"/>
      <c r="J51" s="114"/>
      <c r="K51" s="1851" t="s">
        <v>1448</v>
      </c>
      <c r="L51" s="1851"/>
      <c r="M51" s="1851"/>
      <c r="N51" s="1851"/>
      <c r="O51" s="44"/>
      <c r="P51" s="50"/>
    </row>
    <row r="52" spans="1:17" s="40" customFormat="1" ht="9.9499999999999993" customHeight="1">
      <c r="B52" s="760" t="s">
        <v>2281</v>
      </c>
      <c r="C52" s="760"/>
      <c r="D52" s="760"/>
      <c r="E52" s="760"/>
      <c r="F52" s="760"/>
      <c r="G52" s="760"/>
      <c r="H52" s="1250"/>
      <c r="I52" s="1277"/>
      <c r="J52" s="876"/>
      <c r="K52" s="1852" t="s">
        <v>1364</v>
      </c>
      <c r="L52" s="1852"/>
      <c r="M52" s="1852"/>
      <c r="N52" s="1852"/>
      <c r="O52" s="1852"/>
    </row>
    <row r="53" spans="1:17" s="40" customFormat="1" ht="9.75" customHeight="1">
      <c r="A53" s="40" t="s">
        <v>678</v>
      </c>
      <c r="H53" s="760"/>
      <c r="I53" s="1278"/>
      <c r="J53" s="114"/>
      <c r="K53" s="1852" t="s">
        <v>1588</v>
      </c>
      <c r="L53" s="1852"/>
      <c r="M53" s="1852"/>
      <c r="N53" s="1852"/>
      <c r="O53" s="1075"/>
    </row>
    <row r="54" spans="1:17" s="40" customFormat="1" ht="9.9499999999999993" customHeight="1">
      <c r="B54" s="50" t="s">
        <v>1513</v>
      </c>
      <c r="C54" s="760"/>
      <c r="D54" s="760"/>
      <c r="E54" s="760"/>
      <c r="F54" s="760"/>
      <c r="G54" s="760"/>
      <c r="H54" s="760"/>
      <c r="I54" s="816"/>
      <c r="J54" s="114"/>
      <c r="K54" s="1851" t="s">
        <v>2124</v>
      </c>
      <c r="L54" s="1851"/>
      <c r="M54" s="1851"/>
      <c r="N54" s="1851"/>
    </row>
    <row r="55" spans="1:17" s="40" customFormat="1" ht="9.9499999999999993" customHeight="1">
      <c r="A55" s="143" t="s">
        <v>1518</v>
      </c>
      <c r="B55" s="1852" t="s">
        <v>200</v>
      </c>
      <c r="C55" s="1852"/>
      <c r="D55" s="50"/>
      <c r="E55" s="289" t="s">
        <v>1469</v>
      </c>
      <c r="F55" s="50"/>
      <c r="H55" s="39"/>
      <c r="I55" s="1278"/>
      <c r="J55" s="172" t="s">
        <v>1520</v>
      </c>
      <c r="K55" s="45" t="s">
        <v>1449</v>
      </c>
      <c r="L55" s="45"/>
      <c r="M55" s="45"/>
      <c r="O55" s="157"/>
      <c r="P55" s="50"/>
    </row>
    <row r="56" spans="1:17" s="40" customFormat="1" ht="9.9499999999999993" customHeight="1">
      <c r="D56" s="50"/>
      <c r="F56" s="50"/>
      <c r="I56" s="1278"/>
      <c r="J56" s="1250" t="s">
        <v>201</v>
      </c>
      <c r="K56" s="1850" t="s">
        <v>1741</v>
      </c>
      <c r="L56" s="1850"/>
      <c r="M56" s="1850"/>
      <c r="N56" s="1850"/>
      <c r="O56" s="1147"/>
      <c r="P56" s="1148"/>
    </row>
    <row r="57" spans="1:17" s="40" customFormat="1" ht="12.75" customHeight="1">
      <c r="B57" s="8"/>
      <c r="H57" s="1064"/>
      <c r="I57" s="1278"/>
      <c r="J57" s="816"/>
      <c r="K57" s="478"/>
      <c r="L57" s="1147"/>
      <c r="N57" s="1052"/>
    </row>
    <row r="58" spans="1:17" ht="13.5" customHeight="1">
      <c r="A58" s="40"/>
      <c r="C58" s="40"/>
      <c r="D58" s="40"/>
      <c r="E58" s="40"/>
      <c r="F58" s="40"/>
      <c r="G58" s="40"/>
      <c r="H58" s="1064"/>
      <c r="I58" s="1278"/>
      <c r="J58" s="1413"/>
      <c r="K58" s="1223"/>
      <c r="L58" s="1147"/>
      <c r="M58" s="40"/>
      <c r="N58" s="40"/>
      <c r="O58" s="40"/>
    </row>
    <row r="59" spans="1:17" ht="12.75">
      <c r="C59" s="171"/>
      <c r="D59" s="9"/>
      <c r="E59" s="171"/>
      <c r="F59" s="9"/>
      <c r="G59" s="9"/>
      <c r="H59" s="1064"/>
      <c r="I59" s="1278"/>
      <c r="J59" s="1413"/>
      <c r="K59" s="1223"/>
      <c r="L59" s="1147"/>
      <c r="M59" s="154"/>
      <c r="N59" s="154"/>
      <c r="O59" s="9"/>
    </row>
    <row r="60" spans="1:17" ht="12.75">
      <c r="C60" s="171"/>
      <c r="D60" s="9"/>
      <c r="E60" s="171"/>
      <c r="F60" s="9"/>
      <c r="G60" s="9"/>
      <c r="H60" s="1064"/>
      <c r="I60" s="1278"/>
      <c r="J60" s="1413"/>
      <c r="K60" s="1223"/>
      <c r="L60" s="1147"/>
      <c r="M60" s="154"/>
      <c r="N60" s="154"/>
      <c r="O60" s="9"/>
    </row>
    <row r="61" spans="1:17" ht="12.75">
      <c r="C61" s="171"/>
      <c r="D61" s="9"/>
      <c r="E61" s="171"/>
      <c r="F61" s="9"/>
      <c r="G61" s="9"/>
      <c r="H61" s="1064"/>
      <c r="I61" s="9"/>
      <c r="J61" s="1413"/>
      <c r="K61" s="1223"/>
      <c r="L61" s="1147"/>
      <c r="M61" s="154"/>
      <c r="N61" s="154"/>
      <c r="O61" s="9"/>
    </row>
    <row r="62" spans="1:17" ht="12.75">
      <c r="C62" s="171"/>
      <c r="D62" s="9"/>
      <c r="E62" s="171"/>
      <c r="F62" s="9"/>
      <c r="G62" s="154"/>
      <c r="H62" s="1064"/>
      <c r="I62" s="154"/>
      <c r="J62" s="1413"/>
      <c r="K62" s="1223"/>
      <c r="L62" s="154"/>
      <c r="M62" s="154"/>
      <c r="N62" s="154"/>
      <c r="O62" s="9"/>
    </row>
    <row r="63" spans="1:17" ht="12.75">
      <c r="C63" s="171"/>
      <c r="D63" s="9"/>
      <c r="E63" s="171"/>
      <c r="F63" s="9"/>
      <c r="G63" s="9"/>
      <c r="H63" s="1064"/>
      <c r="I63" s="9"/>
      <c r="J63" s="1413"/>
      <c r="K63" s="1223"/>
      <c r="L63" s="154"/>
      <c r="M63" s="154"/>
      <c r="N63" s="154"/>
      <c r="O63" s="9"/>
    </row>
    <row r="64" spans="1:17" ht="12.75">
      <c r="C64" s="171"/>
      <c r="D64" s="9"/>
      <c r="E64" s="171"/>
      <c r="F64" s="9"/>
      <c r="G64" s="9"/>
      <c r="H64" s="1064"/>
      <c r="I64" s="9"/>
      <c r="J64" s="1413"/>
      <c r="K64" s="1223"/>
      <c r="L64" s="154"/>
      <c r="M64" s="154"/>
      <c r="N64" s="154"/>
      <c r="O64" s="9"/>
    </row>
    <row r="65" spans="3:15" ht="12.75">
      <c r="C65" s="171"/>
      <c r="D65" s="9"/>
      <c r="E65" s="171"/>
      <c r="F65" s="9"/>
      <c r="G65" s="9"/>
      <c r="H65" s="9"/>
      <c r="I65" s="9"/>
      <c r="J65" s="1413"/>
      <c r="K65" s="1223"/>
      <c r="L65" s="154"/>
      <c r="M65" s="154"/>
      <c r="N65" s="154"/>
      <c r="O65" s="9"/>
    </row>
    <row r="66" spans="3:15" ht="12.75">
      <c r="C66" s="171"/>
      <c r="D66" s="9"/>
      <c r="E66" s="171"/>
      <c r="F66" s="9"/>
      <c r="G66" s="9"/>
      <c r="H66" s="9"/>
      <c r="I66" s="9"/>
      <c r="J66" s="1413"/>
      <c r="K66" s="1223"/>
      <c r="L66" s="154"/>
      <c r="M66" s="154"/>
      <c r="N66" s="154"/>
      <c r="O66" s="9"/>
    </row>
    <row r="67" spans="3:15" ht="12.75">
      <c r="C67" s="9"/>
      <c r="D67" s="9"/>
      <c r="E67" s="9"/>
      <c r="F67" s="9"/>
      <c r="G67" s="9"/>
      <c r="H67" s="9"/>
      <c r="I67" s="9"/>
      <c r="J67" s="1413"/>
      <c r="K67" s="1223"/>
      <c r="L67" s="154"/>
      <c r="M67" s="154"/>
      <c r="N67" s="154"/>
      <c r="O67" s="9"/>
    </row>
    <row r="68" spans="3:15">
      <c r="C68" s="9"/>
      <c r="D68" s="9"/>
      <c r="E68" s="9"/>
      <c r="F68" s="9"/>
      <c r="G68" s="9"/>
      <c r="H68" s="9"/>
      <c r="I68" s="9"/>
      <c r="J68" s="1012"/>
      <c r="K68" s="9"/>
      <c r="L68" s="9"/>
      <c r="M68" s="154"/>
      <c r="N68" s="154"/>
      <c r="O68" s="9"/>
    </row>
    <row r="69" spans="3:15">
      <c r="J69" s="25"/>
      <c r="M69" s="154"/>
    </row>
    <row r="70" spans="3:15">
      <c r="J70" s="1012"/>
      <c r="M70" s="154"/>
    </row>
    <row r="71" spans="3:15">
      <c r="J71" s="1012"/>
    </row>
    <row r="72" spans="3:15">
      <c r="J72" s="1012"/>
    </row>
    <row r="73" spans="3:15">
      <c r="J73" s="101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6">
    <mergeCell ref="B50:F50"/>
    <mergeCell ref="B51:I51"/>
    <mergeCell ref="B55:C55"/>
    <mergeCell ref="E5:E6"/>
    <mergeCell ref="A3:A7"/>
    <mergeCell ref="B3:E4"/>
    <mergeCell ref="C5:C6"/>
    <mergeCell ref="B5:B6"/>
    <mergeCell ref="D5:D6"/>
    <mergeCell ref="J5:J6"/>
    <mergeCell ref="G5:G6"/>
    <mergeCell ref="K5:K6"/>
    <mergeCell ref="I5:I6"/>
    <mergeCell ref="H5:H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K56:N56"/>
    <mergeCell ref="K50:L50"/>
    <mergeCell ref="K51:N51"/>
    <mergeCell ref="K52:O52"/>
    <mergeCell ref="K53:N53"/>
    <mergeCell ref="K54:N54"/>
  </mergeCells>
  <phoneticPr fontId="0" type="noConversion"/>
  <pageMargins left="0.43307086614173201" right="0.23622047244094499" top="0.511811023622047" bottom="0.511811023622047" header="0" footer="0.183070866"/>
  <pageSetup paperSize="145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7"/>
  <sheetViews>
    <sheetView topLeftCell="A28" zoomScale="140" zoomScaleNormal="140" workbookViewId="0">
      <selection activeCell="L50" sqref="L50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68" t="s">
        <v>1724</v>
      </c>
      <c r="B1" s="2368"/>
      <c r="C1" s="2368"/>
      <c r="D1" s="2368"/>
      <c r="E1" s="2368"/>
      <c r="F1" s="2368"/>
      <c r="G1" s="2368"/>
      <c r="H1" s="807"/>
      <c r="I1" s="1011" t="s">
        <v>1723</v>
      </c>
    </row>
    <row r="2" spans="1:21" ht="12.75" customHeight="1">
      <c r="A2" s="798"/>
      <c r="B2" s="798"/>
      <c r="C2" s="799"/>
      <c r="D2" s="799"/>
      <c r="E2" s="799"/>
      <c r="F2" s="799"/>
      <c r="G2" s="2369" t="s">
        <v>1749</v>
      </c>
      <c r="H2" s="2369"/>
      <c r="I2" s="2369"/>
    </row>
    <row r="3" spans="1:21" ht="32.25" customHeight="1">
      <c r="A3" s="2371" t="s">
        <v>527</v>
      </c>
      <c r="B3" s="2372"/>
      <c r="C3" s="801" t="s">
        <v>1618</v>
      </c>
      <c r="D3" s="801" t="s">
        <v>1619</v>
      </c>
      <c r="E3" s="801" t="s">
        <v>1620</v>
      </c>
      <c r="F3" s="801" t="s">
        <v>2177</v>
      </c>
      <c r="G3" s="808" t="s">
        <v>1621</v>
      </c>
      <c r="H3" s="808" t="s">
        <v>1622</v>
      </c>
      <c r="I3" s="808" t="s">
        <v>1623</v>
      </c>
    </row>
    <row r="4" spans="1:21" ht="12.75" customHeight="1">
      <c r="A4" s="1181" t="s">
        <v>1774</v>
      </c>
      <c r="B4" s="1181"/>
      <c r="C4" s="800"/>
      <c r="D4" s="800"/>
      <c r="E4" s="800"/>
      <c r="F4" s="800"/>
      <c r="G4" s="2370"/>
      <c r="H4" s="2370"/>
      <c r="I4" s="800"/>
    </row>
    <row r="5" spans="1:21" ht="10.35" customHeight="1">
      <c r="A5" s="2367" t="s">
        <v>1312</v>
      </c>
      <c r="B5" s="802" t="s">
        <v>1624</v>
      </c>
      <c r="C5" s="805" t="s">
        <v>306</v>
      </c>
      <c r="D5" s="805" t="s">
        <v>306</v>
      </c>
      <c r="E5" s="805" t="s">
        <v>306</v>
      </c>
      <c r="F5" s="805" t="s">
        <v>306</v>
      </c>
      <c r="G5" s="809" t="s">
        <v>306</v>
      </c>
      <c r="H5" s="809" t="s">
        <v>306</v>
      </c>
      <c r="I5" s="809" t="s">
        <v>306</v>
      </c>
      <c r="L5" s="662"/>
      <c r="N5" s="662"/>
      <c r="O5" s="662"/>
      <c r="P5" s="662"/>
      <c r="Q5" s="662"/>
      <c r="R5" s="662"/>
      <c r="S5" s="662"/>
      <c r="T5" s="662"/>
      <c r="U5" s="662"/>
    </row>
    <row r="6" spans="1:21" ht="10.35" customHeight="1">
      <c r="A6" s="2367"/>
      <c r="B6" s="803" t="s">
        <v>1625</v>
      </c>
      <c r="C6" s="804">
        <v>9896.84</v>
      </c>
      <c r="D6" s="804">
        <v>11003</v>
      </c>
      <c r="E6" s="804">
        <v>119576.664769</v>
      </c>
      <c r="F6" s="804">
        <v>547.55999999999995</v>
      </c>
      <c r="G6" s="813">
        <v>39314</v>
      </c>
      <c r="H6" s="804">
        <v>5.6907183725365407</v>
      </c>
      <c r="I6" s="804">
        <v>84.817785000000001</v>
      </c>
      <c r="L6" s="662"/>
      <c r="N6" s="662"/>
      <c r="O6" s="662"/>
      <c r="P6" s="662"/>
      <c r="Q6" s="662"/>
      <c r="R6" s="662"/>
      <c r="S6" s="662"/>
      <c r="T6" s="662"/>
      <c r="U6" s="662"/>
    </row>
    <row r="7" spans="1:21" ht="10.35" customHeight="1">
      <c r="A7" s="2367"/>
      <c r="B7" s="802" t="s">
        <v>1606</v>
      </c>
      <c r="C7" s="805">
        <v>242.77</v>
      </c>
      <c r="D7" s="805">
        <v>147.04</v>
      </c>
      <c r="E7" s="805">
        <v>1998.02</v>
      </c>
      <c r="F7" s="805">
        <v>0.95973878948873204</v>
      </c>
      <c r="G7" s="805">
        <v>1491.9952036514101</v>
      </c>
      <c r="H7" s="805">
        <v>8.02</v>
      </c>
      <c r="I7" s="805">
        <v>74.400000000000006</v>
      </c>
      <c r="L7" s="662"/>
      <c r="N7" s="662"/>
      <c r="O7" s="662"/>
      <c r="P7" s="662"/>
      <c r="Q7" s="662"/>
      <c r="R7" s="662"/>
      <c r="S7" s="662"/>
      <c r="T7" s="662"/>
      <c r="U7" s="662"/>
    </row>
    <row r="8" spans="1:21" ht="10.35" customHeight="1">
      <c r="A8" s="2367"/>
      <c r="B8" s="803" t="s">
        <v>1607</v>
      </c>
      <c r="C8" s="804">
        <v>74108.810278999998</v>
      </c>
      <c r="D8" s="804">
        <v>88258.232780000006</v>
      </c>
      <c r="E8" s="804">
        <v>376009.44743610203</v>
      </c>
      <c r="F8" s="804">
        <v>24424.469698000001</v>
      </c>
      <c r="G8" s="804">
        <v>544687.32999999996</v>
      </c>
      <c r="H8" s="804">
        <v>6.8965517241379199</v>
      </c>
      <c r="I8" s="804">
        <v>74.397763076923098</v>
      </c>
      <c r="L8" s="662"/>
      <c r="N8" s="662"/>
      <c r="O8" s="662"/>
      <c r="P8" s="662"/>
      <c r="Q8" s="662"/>
      <c r="R8" s="662"/>
      <c r="S8" s="662"/>
      <c r="T8" s="662"/>
      <c r="U8" s="662"/>
    </row>
    <row r="9" spans="1:21" ht="10.35" customHeight="1">
      <c r="A9" s="2367"/>
      <c r="B9" s="802" t="s">
        <v>1608</v>
      </c>
      <c r="C9" s="805">
        <v>80.209999999999994</v>
      </c>
      <c r="D9" s="805">
        <v>387.02</v>
      </c>
      <c r="E9" s="805">
        <v>197.54</v>
      </c>
      <c r="F9" s="805" t="s">
        <v>306</v>
      </c>
      <c r="G9" s="805">
        <v>696.13</v>
      </c>
      <c r="H9" s="805">
        <v>-0.88</v>
      </c>
      <c r="I9" s="805">
        <v>15.4</v>
      </c>
      <c r="L9" s="662"/>
      <c r="N9" s="662"/>
      <c r="O9" s="662"/>
      <c r="P9" s="662"/>
      <c r="Q9" s="662"/>
      <c r="R9" s="662"/>
      <c r="S9" s="662"/>
      <c r="T9" s="662"/>
      <c r="U9" s="662"/>
    </row>
    <row r="10" spans="1:21" ht="10.35" customHeight="1">
      <c r="A10" s="2367"/>
      <c r="B10" s="803" t="s">
        <v>1609</v>
      </c>
      <c r="C10" s="804">
        <v>262.08999999999997</v>
      </c>
      <c r="D10" s="804">
        <v>2468.6</v>
      </c>
      <c r="E10" s="804">
        <v>5174.21</v>
      </c>
      <c r="F10" s="804" t="s">
        <v>306</v>
      </c>
      <c r="G10" s="804">
        <v>10677.25</v>
      </c>
      <c r="H10" s="804" t="s">
        <v>306</v>
      </c>
      <c r="I10" s="804">
        <v>117.54</v>
      </c>
      <c r="L10" s="662"/>
      <c r="N10" s="662"/>
      <c r="O10" s="662"/>
      <c r="P10" s="662"/>
      <c r="Q10" s="662"/>
      <c r="R10" s="662"/>
      <c r="S10" s="662"/>
      <c r="T10" s="662"/>
      <c r="U10" s="662"/>
    </row>
    <row r="11" spans="1:21" ht="10.35" customHeight="1">
      <c r="A11" s="2367"/>
      <c r="B11" s="802" t="s">
        <v>1610</v>
      </c>
      <c r="C11" s="805">
        <v>5471.82</v>
      </c>
      <c r="D11" s="805">
        <v>11286.11</v>
      </c>
      <c r="E11" s="805">
        <v>48119.83</v>
      </c>
      <c r="F11" s="805">
        <v>457.57</v>
      </c>
      <c r="G11" s="805">
        <v>12153.7</v>
      </c>
      <c r="H11" s="805">
        <v>10.4</v>
      </c>
      <c r="I11" s="805">
        <v>166.77</v>
      </c>
      <c r="L11" s="662"/>
      <c r="N11" s="662"/>
      <c r="O11" s="662"/>
      <c r="P11" s="662"/>
      <c r="Q11" s="662"/>
      <c r="R11" s="662"/>
      <c r="S11" s="662"/>
      <c r="T11" s="662"/>
      <c r="U11" s="662"/>
    </row>
    <row r="12" spans="1:21" ht="10.35" customHeight="1">
      <c r="A12" s="2367"/>
      <c r="B12" s="1141" t="s">
        <v>1611</v>
      </c>
      <c r="C12" s="1142" t="s">
        <v>306</v>
      </c>
      <c r="D12" s="1142" t="s">
        <v>306</v>
      </c>
      <c r="E12" s="1142" t="s">
        <v>306</v>
      </c>
      <c r="F12" s="1142" t="s">
        <v>306</v>
      </c>
      <c r="G12" s="1142" t="s">
        <v>306</v>
      </c>
      <c r="H12" s="1142" t="s">
        <v>306</v>
      </c>
      <c r="I12" s="1142" t="s">
        <v>306</v>
      </c>
      <c r="L12" s="662"/>
      <c r="N12" s="662"/>
      <c r="O12" s="662"/>
      <c r="P12" s="662"/>
      <c r="Q12" s="662"/>
      <c r="R12" s="662"/>
      <c r="S12" s="662"/>
      <c r="T12" s="662"/>
      <c r="U12" s="662"/>
    </row>
    <row r="13" spans="1:21" ht="10.35" customHeight="1">
      <c r="A13" s="2366" t="s">
        <v>1444</v>
      </c>
      <c r="B13" s="802" t="s">
        <v>1624</v>
      </c>
      <c r="C13" s="805" t="s">
        <v>306</v>
      </c>
      <c r="D13" s="805" t="s">
        <v>306</v>
      </c>
      <c r="E13" s="805" t="s">
        <v>306</v>
      </c>
      <c r="F13" s="805" t="s">
        <v>306</v>
      </c>
      <c r="G13" s="805" t="s">
        <v>306</v>
      </c>
      <c r="H13" s="805" t="s">
        <v>306</v>
      </c>
      <c r="I13" s="805" t="s">
        <v>306</v>
      </c>
      <c r="L13" s="662"/>
      <c r="N13" s="662"/>
      <c r="O13" s="662"/>
      <c r="P13" s="662"/>
      <c r="Q13" s="662"/>
      <c r="R13" s="662"/>
      <c r="S13" s="662"/>
      <c r="T13" s="662"/>
      <c r="U13" s="662"/>
    </row>
    <row r="14" spans="1:21" ht="10.35" customHeight="1">
      <c r="A14" s="2367"/>
      <c r="B14" s="803" t="s">
        <v>1625</v>
      </c>
      <c r="C14" s="804">
        <v>9336.61</v>
      </c>
      <c r="D14" s="804">
        <v>12560.4</v>
      </c>
      <c r="E14" s="804">
        <v>123351.81</v>
      </c>
      <c r="F14" s="804">
        <v>827.86</v>
      </c>
      <c r="G14" s="813">
        <v>43166.5</v>
      </c>
      <c r="H14" s="804">
        <v>5.691074747462066</v>
      </c>
      <c r="I14" s="804">
        <v>84.801032000000006</v>
      </c>
      <c r="L14" s="662"/>
      <c r="N14" s="662"/>
      <c r="O14" s="662"/>
      <c r="P14" s="662"/>
      <c r="Q14" s="662"/>
      <c r="R14" s="662"/>
      <c r="S14" s="662"/>
      <c r="T14" s="662"/>
      <c r="U14" s="662"/>
    </row>
    <row r="15" spans="1:21" ht="10.35" customHeight="1">
      <c r="A15" s="2367"/>
      <c r="B15" s="802" t="s">
        <v>1606</v>
      </c>
      <c r="C15" s="805">
        <v>163.86</v>
      </c>
      <c r="D15" s="805">
        <v>235.49</v>
      </c>
      <c r="E15" s="805">
        <v>2028.59</v>
      </c>
      <c r="F15" s="805">
        <v>2.0156423365433498</v>
      </c>
      <c r="G15" s="805">
        <v>1454.1948601014999</v>
      </c>
      <c r="H15" s="805">
        <v>7.7170465413716602</v>
      </c>
      <c r="I15" s="805">
        <v>73.8</v>
      </c>
      <c r="L15" s="662"/>
      <c r="N15" s="662"/>
      <c r="O15" s="662"/>
      <c r="P15" s="662"/>
      <c r="Q15" s="662"/>
      <c r="R15" s="662"/>
      <c r="S15" s="662"/>
      <c r="T15" s="662"/>
      <c r="U15" s="662"/>
    </row>
    <row r="16" spans="1:21" ht="10.35" customHeight="1">
      <c r="A16" s="2367"/>
      <c r="B16" s="803" t="s">
        <v>1607</v>
      </c>
      <c r="C16" s="804">
        <v>75756.648623999994</v>
      </c>
      <c r="D16" s="804">
        <v>110820.669819</v>
      </c>
      <c r="E16" s="804">
        <v>377834.90478224203</v>
      </c>
      <c r="F16" s="804">
        <v>17380.026352000001</v>
      </c>
      <c r="G16" s="804">
        <v>585770.63</v>
      </c>
      <c r="H16" s="804">
        <v>6.3648588077095596</v>
      </c>
      <c r="I16" s="804">
        <v>73.754388333333296</v>
      </c>
      <c r="L16" s="662"/>
      <c r="N16" s="662"/>
      <c r="O16" s="662"/>
      <c r="P16" s="662"/>
      <c r="Q16" s="662"/>
      <c r="R16" s="662"/>
      <c r="S16" s="662"/>
      <c r="T16" s="662"/>
      <c r="U16" s="662"/>
    </row>
    <row r="17" spans="1:21" ht="10.35" customHeight="1">
      <c r="A17" s="2367"/>
      <c r="B17" s="802" t="s">
        <v>1608</v>
      </c>
      <c r="C17" s="805">
        <v>73.38</v>
      </c>
      <c r="D17" s="805">
        <v>431.48</v>
      </c>
      <c r="E17" s="805">
        <v>190.83</v>
      </c>
      <c r="F17" s="805" t="s">
        <v>306</v>
      </c>
      <c r="G17" s="805">
        <v>984.93</v>
      </c>
      <c r="H17" s="805">
        <v>-1.37</v>
      </c>
      <c r="I17" s="805">
        <v>15.38</v>
      </c>
      <c r="L17" s="662"/>
      <c r="N17" s="662"/>
      <c r="O17" s="662"/>
      <c r="P17" s="662"/>
      <c r="Q17" s="662"/>
      <c r="R17" s="662"/>
      <c r="S17" s="662"/>
      <c r="T17" s="662"/>
      <c r="U17" s="662"/>
    </row>
    <row r="18" spans="1:21" ht="10.35" customHeight="1">
      <c r="A18" s="2367"/>
      <c r="B18" s="803" t="s">
        <v>1609</v>
      </c>
      <c r="C18" s="804">
        <v>252.11</v>
      </c>
      <c r="D18" s="804">
        <v>3126.65</v>
      </c>
      <c r="E18" s="804">
        <v>5475.95</v>
      </c>
      <c r="F18" s="804" t="s">
        <v>306</v>
      </c>
      <c r="G18" s="804">
        <v>11059.5</v>
      </c>
      <c r="H18" s="804" t="s">
        <v>306</v>
      </c>
      <c r="I18" s="804">
        <v>117.43</v>
      </c>
      <c r="L18" s="662"/>
      <c r="N18" s="662"/>
      <c r="O18" s="662"/>
      <c r="P18" s="662"/>
      <c r="Q18" s="662"/>
      <c r="R18" s="662"/>
      <c r="S18" s="662"/>
      <c r="T18" s="662"/>
      <c r="U18" s="662"/>
    </row>
    <row r="19" spans="1:21" ht="10.35" customHeight="1">
      <c r="A19" s="2367"/>
      <c r="B19" s="802" t="s">
        <v>1610</v>
      </c>
      <c r="C19" s="805">
        <v>6638.24</v>
      </c>
      <c r="D19" s="805">
        <v>13168.08</v>
      </c>
      <c r="E19" s="805">
        <v>52271.44</v>
      </c>
      <c r="F19" s="805">
        <v>422.1</v>
      </c>
      <c r="G19" s="805">
        <v>13415.4</v>
      </c>
      <c r="H19" s="805">
        <v>9.48</v>
      </c>
      <c r="I19" s="805">
        <v>160.69999999999999</v>
      </c>
      <c r="L19" s="662"/>
      <c r="N19" s="662"/>
      <c r="O19" s="662"/>
      <c r="P19" s="662"/>
      <c r="Q19" s="662"/>
      <c r="R19" s="662"/>
      <c r="S19" s="662"/>
      <c r="T19" s="662"/>
      <c r="U19" s="662"/>
    </row>
    <row r="20" spans="1:21" ht="10.35" customHeight="1">
      <c r="A20" s="2367"/>
      <c r="B20" s="803" t="s">
        <v>1611</v>
      </c>
      <c r="C20" s="804" t="s">
        <v>306</v>
      </c>
      <c r="D20" s="804" t="s">
        <v>306</v>
      </c>
      <c r="E20" s="804" t="s">
        <v>306</v>
      </c>
      <c r="F20" s="804" t="s">
        <v>306</v>
      </c>
      <c r="G20" s="804" t="s">
        <v>306</v>
      </c>
      <c r="H20" s="804" t="s">
        <v>306</v>
      </c>
      <c r="I20" s="804" t="s">
        <v>306</v>
      </c>
      <c r="L20" s="662"/>
      <c r="N20" s="662"/>
      <c r="O20" s="662"/>
      <c r="P20" s="662"/>
      <c r="Q20" s="662"/>
      <c r="R20" s="662"/>
      <c r="S20" s="662"/>
      <c r="T20" s="662"/>
      <c r="U20" s="662"/>
    </row>
    <row r="21" spans="1:21" ht="10.35" customHeight="1">
      <c r="A21" s="2367" t="s">
        <v>1310</v>
      </c>
      <c r="B21" s="802" t="s">
        <v>1624</v>
      </c>
      <c r="C21" s="805" t="s">
        <v>306</v>
      </c>
      <c r="D21" s="805" t="s">
        <v>306</v>
      </c>
      <c r="E21" s="805" t="s">
        <v>306</v>
      </c>
      <c r="F21" s="805" t="s">
        <v>306</v>
      </c>
      <c r="G21" s="805" t="s">
        <v>306</v>
      </c>
      <c r="H21" s="805" t="s">
        <v>306</v>
      </c>
      <c r="I21" s="805" t="s">
        <v>306</v>
      </c>
      <c r="L21" s="662"/>
      <c r="N21" s="662"/>
      <c r="O21" s="662"/>
      <c r="P21" s="662"/>
      <c r="Q21" s="662"/>
      <c r="R21" s="662"/>
      <c r="S21" s="662"/>
      <c r="T21" s="662"/>
      <c r="U21" s="662"/>
    </row>
    <row r="22" spans="1:21" ht="10.35" customHeight="1">
      <c r="A22" s="2367"/>
      <c r="B22" s="803" t="s">
        <v>1625</v>
      </c>
      <c r="C22" s="804">
        <v>9509</v>
      </c>
      <c r="D22" s="804">
        <v>17541</v>
      </c>
      <c r="E22" s="804">
        <v>125063.492252</v>
      </c>
      <c r="F22" s="804">
        <v>591.75</v>
      </c>
      <c r="G22" s="813">
        <v>43440.800000000003</v>
      </c>
      <c r="H22" s="804">
        <v>5.63</v>
      </c>
      <c r="I22" s="804">
        <v>84.8</v>
      </c>
      <c r="L22" s="662"/>
      <c r="N22" s="662"/>
      <c r="O22" s="662"/>
      <c r="P22" s="662"/>
      <c r="Q22" s="662"/>
      <c r="R22" s="662"/>
      <c r="S22" s="662"/>
      <c r="T22" s="662"/>
      <c r="U22" s="662"/>
    </row>
    <row r="23" spans="1:21" ht="10.35" customHeight="1">
      <c r="A23" s="2367"/>
      <c r="B23" s="802" t="s">
        <v>1606</v>
      </c>
      <c r="C23" s="805">
        <v>128.00804599424399</v>
      </c>
      <c r="D23" s="805">
        <v>257.99876058545601</v>
      </c>
      <c r="E23" s="805">
        <v>2086.1703891706102</v>
      </c>
      <c r="F23" s="805">
        <v>0.1</v>
      </c>
      <c r="G23" s="805">
        <v>1522.5</v>
      </c>
      <c r="H23" s="805">
        <v>9.1130992384798706</v>
      </c>
      <c r="I23" s="805">
        <v>72.888661111111105</v>
      </c>
      <c r="L23" s="662"/>
      <c r="N23" s="662"/>
      <c r="O23" s="662"/>
      <c r="P23" s="662"/>
      <c r="Q23" s="662"/>
      <c r="R23" s="662"/>
      <c r="S23" s="662"/>
      <c r="T23" s="662"/>
      <c r="U23" s="662"/>
    </row>
    <row r="24" spans="1:21" ht="10.35" customHeight="1">
      <c r="A24" s="2367"/>
      <c r="B24" s="803" t="s">
        <v>1607</v>
      </c>
      <c r="C24" s="804">
        <v>90428.132058999996</v>
      </c>
      <c r="D24" s="804">
        <v>131677.58743300001</v>
      </c>
      <c r="E24" s="804">
        <v>403012.547496963</v>
      </c>
      <c r="F24" s="804">
        <v>2678.538278</v>
      </c>
      <c r="G24" s="804">
        <v>576983.89</v>
      </c>
      <c r="H24" s="804">
        <v>4.8559946419999998</v>
      </c>
      <c r="I24" s="804">
        <v>72.881177966101703</v>
      </c>
      <c r="L24" s="662"/>
      <c r="N24" s="662"/>
      <c r="O24" s="662"/>
      <c r="P24" s="662"/>
      <c r="Q24" s="662"/>
      <c r="R24" s="662"/>
      <c r="S24" s="662"/>
      <c r="T24" s="662"/>
      <c r="U24" s="662"/>
    </row>
    <row r="25" spans="1:21" ht="10.35" customHeight="1">
      <c r="A25" s="2367"/>
      <c r="B25" s="802" t="s">
        <v>1608</v>
      </c>
      <c r="C25" s="805">
        <v>73.03</v>
      </c>
      <c r="D25" s="805">
        <v>583.42999999999995</v>
      </c>
      <c r="E25" s="805">
        <v>194.27</v>
      </c>
      <c r="F25" s="805" t="s">
        <v>306</v>
      </c>
      <c r="G25" s="805">
        <v>844.74</v>
      </c>
      <c r="H25" s="805">
        <v>-1.72</v>
      </c>
      <c r="I25" s="805">
        <v>15.37</v>
      </c>
      <c r="L25" s="662"/>
      <c r="N25" s="662"/>
      <c r="O25" s="662"/>
      <c r="P25" s="662"/>
      <c r="Q25" s="662"/>
      <c r="R25" s="662"/>
      <c r="S25" s="662"/>
      <c r="T25" s="662"/>
      <c r="U25" s="662"/>
    </row>
    <row r="26" spans="1:21" ht="10.35" customHeight="1">
      <c r="A26" s="2367"/>
      <c r="B26" s="803" t="s">
        <v>1609</v>
      </c>
      <c r="C26" s="804">
        <v>290.73134499999998</v>
      </c>
      <c r="D26" s="804">
        <v>3853.441773</v>
      </c>
      <c r="E26" s="804">
        <v>5965.4555360000004</v>
      </c>
      <c r="F26" s="804" t="s">
        <v>306</v>
      </c>
      <c r="G26" s="804">
        <v>10871.569513</v>
      </c>
      <c r="H26" s="804" t="s">
        <v>306</v>
      </c>
      <c r="I26" s="804">
        <v>116.46</v>
      </c>
      <c r="L26" s="662"/>
      <c r="N26" s="662"/>
      <c r="O26" s="662"/>
      <c r="P26" s="662"/>
      <c r="Q26" s="662"/>
      <c r="R26" s="662"/>
      <c r="S26" s="662"/>
      <c r="T26" s="662"/>
      <c r="U26" s="662"/>
    </row>
    <row r="27" spans="1:21" ht="10.35" customHeight="1">
      <c r="A27" s="2367"/>
      <c r="B27" s="802" t="s">
        <v>1610</v>
      </c>
      <c r="C27" s="805">
        <v>6577.68</v>
      </c>
      <c r="D27" s="805">
        <v>15056.75</v>
      </c>
      <c r="E27" s="805">
        <v>55636.93</v>
      </c>
      <c r="F27" s="805">
        <v>515.38</v>
      </c>
      <c r="G27" s="805">
        <v>13493.3</v>
      </c>
      <c r="H27" s="805">
        <v>8.3699999999999992</v>
      </c>
      <c r="I27" s="805">
        <v>158.44</v>
      </c>
      <c r="L27" s="662"/>
      <c r="N27" s="662"/>
      <c r="O27" s="662"/>
      <c r="P27" s="662"/>
      <c r="Q27" s="662"/>
      <c r="R27" s="662"/>
      <c r="S27" s="662"/>
      <c r="T27" s="662"/>
      <c r="U27" s="662"/>
    </row>
    <row r="28" spans="1:21" ht="10.35" customHeight="1">
      <c r="A28" s="2367"/>
      <c r="B28" s="803" t="s">
        <v>1611</v>
      </c>
      <c r="C28" s="804" t="s">
        <v>306</v>
      </c>
      <c r="D28" s="804" t="s">
        <v>306</v>
      </c>
      <c r="E28" s="804" t="s">
        <v>306</v>
      </c>
      <c r="F28" s="804" t="s">
        <v>306</v>
      </c>
      <c r="G28" s="804" t="s">
        <v>306</v>
      </c>
      <c r="H28" s="804" t="s">
        <v>306</v>
      </c>
      <c r="I28" s="804" t="s">
        <v>306</v>
      </c>
      <c r="L28" s="662"/>
      <c r="N28" s="662"/>
      <c r="O28" s="662"/>
      <c r="P28" s="662"/>
      <c r="Q28" s="662"/>
      <c r="R28" s="662"/>
      <c r="S28" s="662"/>
      <c r="T28" s="662"/>
      <c r="U28" s="662"/>
    </row>
    <row r="29" spans="1:21" ht="10.35" customHeight="1">
      <c r="A29" s="2367" t="s">
        <v>1311</v>
      </c>
      <c r="B29" s="802" t="s">
        <v>1624</v>
      </c>
      <c r="C29" s="805" t="s">
        <v>306</v>
      </c>
      <c r="D29" s="805" t="s">
        <v>306</v>
      </c>
      <c r="E29" s="805" t="s">
        <v>306</v>
      </c>
      <c r="F29" s="805" t="s">
        <v>306</v>
      </c>
      <c r="G29" s="805" t="s">
        <v>306</v>
      </c>
      <c r="H29" s="805" t="s">
        <v>306</v>
      </c>
      <c r="I29" s="805" t="s">
        <v>306</v>
      </c>
      <c r="L29" s="662"/>
      <c r="N29" s="662"/>
      <c r="O29" s="662"/>
      <c r="P29" s="662"/>
      <c r="Q29" s="662"/>
      <c r="R29" s="662"/>
      <c r="S29" s="662"/>
      <c r="T29" s="662"/>
      <c r="U29" s="662"/>
    </row>
    <row r="30" spans="1:21" ht="10.35" customHeight="1">
      <c r="A30" s="2367"/>
      <c r="B30" s="803" t="s">
        <v>1625</v>
      </c>
      <c r="C30" s="804">
        <v>9612</v>
      </c>
      <c r="D30" s="804">
        <v>17914</v>
      </c>
      <c r="E30" s="804">
        <v>127950.28930600001</v>
      </c>
      <c r="F30" s="804">
        <v>540.14</v>
      </c>
      <c r="G30" s="813">
        <v>46391.4</v>
      </c>
      <c r="H30" s="804">
        <v>5.5576564158239528</v>
      </c>
      <c r="I30" s="804">
        <v>84.805357999999998</v>
      </c>
      <c r="L30" s="806"/>
      <c r="M30" s="806"/>
      <c r="N30" s="1409"/>
      <c r="O30" s="285"/>
      <c r="P30" s="806"/>
      <c r="Q30" s="662"/>
      <c r="R30" s="662"/>
      <c r="S30" s="662"/>
      <c r="T30" s="662"/>
      <c r="U30" s="662"/>
    </row>
    <row r="31" spans="1:21" ht="10.35" customHeight="1">
      <c r="A31" s="2367"/>
      <c r="B31" s="802" t="s">
        <v>1606</v>
      </c>
      <c r="C31" s="805">
        <v>184.545048290154</v>
      </c>
      <c r="D31" s="805">
        <v>280.84065359006303</v>
      </c>
      <c r="E31" s="805">
        <v>2093.0302379783998</v>
      </c>
      <c r="F31" s="805">
        <v>1.0631915979250199</v>
      </c>
      <c r="G31" s="805">
        <v>1342.63092073249</v>
      </c>
      <c r="H31" s="805">
        <v>7.4240027002150804</v>
      </c>
      <c r="I31" s="805">
        <v>73.778304773222402</v>
      </c>
      <c r="L31" s="1409"/>
      <c r="M31" s="1409"/>
      <c r="N31" s="1409"/>
      <c r="O31" s="1409"/>
      <c r="P31" s="806"/>
      <c r="Q31" s="662"/>
      <c r="R31" s="662"/>
      <c r="S31" s="662"/>
      <c r="T31" s="662"/>
      <c r="U31" s="662"/>
    </row>
    <row r="32" spans="1:21" ht="10.35" customHeight="1">
      <c r="A32" s="2367"/>
      <c r="B32" s="803" t="s">
        <v>1607</v>
      </c>
      <c r="C32" s="804">
        <v>95536.826480999996</v>
      </c>
      <c r="D32" s="804">
        <v>126957.09951499999</v>
      </c>
      <c r="E32" s="804">
        <v>382895.82396268198</v>
      </c>
      <c r="F32" s="804">
        <v>11833.885022</v>
      </c>
      <c r="G32" s="804">
        <v>611074.97</v>
      </c>
      <c r="H32" s="804">
        <v>5.5934816119999997</v>
      </c>
      <c r="I32" s="804">
        <v>73.730972413793097</v>
      </c>
      <c r="L32" s="662"/>
      <c r="N32" s="662"/>
      <c r="O32" s="662"/>
      <c r="P32" s="662"/>
      <c r="Q32" s="662"/>
      <c r="R32" s="662"/>
      <c r="S32" s="662"/>
      <c r="T32" s="662"/>
      <c r="U32" s="662"/>
    </row>
    <row r="33" spans="1:21" ht="10.35" customHeight="1">
      <c r="A33" s="2367"/>
      <c r="B33" s="802" t="s">
        <v>1608</v>
      </c>
      <c r="C33" s="805">
        <v>63.54</v>
      </c>
      <c r="D33" s="805">
        <v>571.94000000000005</v>
      </c>
      <c r="E33" s="805">
        <v>194.66</v>
      </c>
      <c r="F33" s="805" t="s">
        <v>306</v>
      </c>
      <c r="G33" s="805">
        <v>912.36</v>
      </c>
      <c r="H33" s="805">
        <v>-0.16</v>
      </c>
      <c r="I33" s="805">
        <v>15.32</v>
      </c>
      <c r="L33" s="662"/>
      <c r="N33" s="662"/>
      <c r="O33" s="662"/>
      <c r="P33" s="662"/>
      <c r="Q33" s="662"/>
      <c r="R33" s="662"/>
      <c r="S33" s="662"/>
      <c r="T33" s="662"/>
      <c r="U33" s="662"/>
    </row>
    <row r="34" spans="1:21" ht="10.35" customHeight="1">
      <c r="A34" s="2367"/>
      <c r="B34" s="803" t="s">
        <v>1609</v>
      </c>
      <c r="C34" s="804">
        <v>392.07993900000002</v>
      </c>
      <c r="D34" s="804">
        <v>3625.4375209999998</v>
      </c>
      <c r="E34" s="804">
        <v>6497.5564100000001</v>
      </c>
      <c r="F34" s="804" t="s">
        <v>306</v>
      </c>
      <c r="G34" s="804">
        <v>10243.334715999999</v>
      </c>
      <c r="H34" s="804" t="s">
        <v>306</v>
      </c>
      <c r="I34" s="804">
        <v>116.92</v>
      </c>
      <c r="L34" s="662"/>
      <c r="N34" s="662"/>
      <c r="O34" s="662"/>
      <c r="P34" s="662"/>
      <c r="Q34" s="662"/>
      <c r="R34" s="662"/>
      <c r="S34" s="662"/>
      <c r="T34" s="662"/>
      <c r="U34" s="662"/>
    </row>
    <row r="35" spans="1:21" ht="10.35" customHeight="1">
      <c r="A35" s="2367"/>
      <c r="B35" s="802" t="s">
        <v>1610</v>
      </c>
      <c r="C35" s="805" t="s">
        <v>306</v>
      </c>
      <c r="D35" s="805" t="s">
        <v>306</v>
      </c>
      <c r="E35" s="805" t="s">
        <v>306</v>
      </c>
      <c r="F35" s="805" t="s">
        <v>306</v>
      </c>
      <c r="G35" s="805" t="s">
        <v>306</v>
      </c>
      <c r="H35" s="805" t="s">
        <v>306</v>
      </c>
      <c r="I35" s="805" t="s">
        <v>306</v>
      </c>
      <c r="L35" s="662"/>
      <c r="N35" s="662"/>
      <c r="O35" s="662"/>
      <c r="P35" s="662"/>
      <c r="Q35" s="662"/>
      <c r="R35" s="662"/>
      <c r="S35" s="662"/>
      <c r="T35" s="662"/>
      <c r="U35" s="662"/>
    </row>
    <row r="36" spans="1:21" ht="10.35" customHeight="1">
      <c r="A36" s="2367"/>
      <c r="B36" s="803" t="s">
        <v>1611</v>
      </c>
      <c r="C36" s="804" t="s">
        <v>306</v>
      </c>
      <c r="D36" s="804" t="s">
        <v>306</v>
      </c>
      <c r="E36" s="804" t="s">
        <v>306</v>
      </c>
      <c r="F36" s="804" t="s">
        <v>306</v>
      </c>
      <c r="G36" s="804" t="s">
        <v>306</v>
      </c>
      <c r="H36" s="804" t="s">
        <v>306</v>
      </c>
      <c r="I36" s="804" t="s">
        <v>306</v>
      </c>
      <c r="L36" s="662"/>
      <c r="N36" s="662"/>
      <c r="O36" s="662"/>
      <c r="P36" s="662"/>
      <c r="Q36" s="662"/>
      <c r="R36" s="662"/>
      <c r="S36" s="662"/>
      <c r="T36" s="662"/>
      <c r="U36" s="662"/>
    </row>
    <row r="37" spans="1:21" ht="12.75" customHeight="1">
      <c r="A37" s="1619" t="s">
        <v>2216</v>
      </c>
      <c r="B37" s="1619"/>
      <c r="C37" s="1620"/>
      <c r="D37" s="1620"/>
      <c r="E37" s="1620"/>
      <c r="F37" s="1620"/>
      <c r="G37" s="1620"/>
      <c r="H37" s="1620"/>
      <c r="I37" s="1621"/>
    </row>
    <row r="38" spans="1:21" ht="10.35" customHeight="1">
      <c r="A38" s="2366" t="s">
        <v>1312</v>
      </c>
      <c r="B38" s="802" t="s">
        <v>1624</v>
      </c>
      <c r="C38" s="809" t="s">
        <v>306</v>
      </c>
      <c r="D38" s="809" t="s">
        <v>306</v>
      </c>
      <c r="E38" s="809" t="s">
        <v>306</v>
      </c>
      <c r="F38" s="809" t="s">
        <v>306</v>
      </c>
      <c r="G38" s="809" t="s">
        <v>306</v>
      </c>
      <c r="H38" s="809" t="s">
        <v>306</v>
      </c>
      <c r="I38" s="809" t="s">
        <v>306</v>
      </c>
      <c r="J38" s="769"/>
    </row>
    <row r="39" spans="1:21" ht="10.35" customHeight="1">
      <c r="A39" s="2367"/>
      <c r="B39" s="803" t="s">
        <v>1625</v>
      </c>
      <c r="C39" s="813">
        <v>11022</v>
      </c>
      <c r="D39" s="813">
        <v>16351.3</v>
      </c>
      <c r="E39" s="813">
        <v>129174.92948538013</v>
      </c>
      <c r="F39" s="813">
        <v>671.5</v>
      </c>
      <c r="G39" s="813">
        <v>46199.8</v>
      </c>
      <c r="H39" s="813">
        <v>5.5</v>
      </c>
      <c r="I39" s="813">
        <v>85.004221000000001</v>
      </c>
    </row>
    <row r="40" spans="1:21" ht="10.35" customHeight="1">
      <c r="A40" s="2367"/>
      <c r="B40" s="802" t="s">
        <v>1606</v>
      </c>
      <c r="C40" s="809">
        <v>269.54196286652802</v>
      </c>
      <c r="D40" s="809">
        <v>319.318330239131</v>
      </c>
      <c r="E40" s="809">
        <v>2129.8143048055899</v>
      </c>
      <c r="F40" s="809">
        <v>0.02</v>
      </c>
      <c r="G40" s="809">
        <v>1296.7866705890301</v>
      </c>
      <c r="H40" s="809">
        <v>4.9707565320558302</v>
      </c>
      <c r="I40" s="805">
        <v>74.117643034055703</v>
      </c>
    </row>
    <row r="41" spans="1:21" ht="10.35" customHeight="1">
      <c r="A41" s="2367"/>
      <c r="B41" s="803" t="s">
        <v>1607</v>
      </c>
      <c r="C41" s="813">
        <v>102714.29324499999</v>
      </c>
      <c r="D41" s="813">
        <v>147470.29233900001</v>
      </c>
      <c r="E41" s="813">
        <v>381057.59914133803</v>
      </c>
      <c r="F41" s="813">
        <v>9554.7920250000006</v>
      </c>
      <c r="G41" s="813">
        <v>635362.77</v>
      </c>
      <c r="H41" s="813">
        <v>5.0752688170000004</v>
      </c>
      <c r="I41" s="813">
        <v>74.090156451612899</v>
      </c>
    </row>
    <row r="42" spans="1:21" ht="10.35" customHeight="1">
      <c r="A42" s="2367"/>
      <c r="B42" s="802" t="s">
        <v>1608</v>
      </c>
      <c r="C42" s="809">
        <v>63.01</v>
      </c>
      <c r="D42" s="809">
        <v>616.85</v>
      </c>
      <c r="E42" s="809">
        <v>205.05</v>
      </c>
      <c r="F42" s="809" t="s">
        <v>306</v>
      </c>
      <c r="G42" s="805">
        <v>1016.75</v>
      </c>
      <c r="H42" s="805">
        <v>0.23</v>
      </c>
      <c r="I42" s="809">
        <v>15.41</v>
      </c>
    </row>
    <row r="43" spans="1:21" ht="10.35" customHeight="1">
      <c r="A43" s="2367"/>
      <c r="B43" s="803" t="s">
        <v>1609</v>
      </c>
      <c r="C43" s="804" t="s">
        <v>306</v>
      </c>
      <c r="D43" s="804" t="s">
        <v>306</v>
      </c>
      <c r="E43" s="804" t="s">
        <v>306</v>
      </c>
      <c r="F43" s="804" t="s">
        <v>306</v>
      </c>
      <c r="G43" s="804" t="s">
        <v>306</v>
      </c>
      <c r="H43" s="804" t="s">
        <v>306</v>
      </c>
      <c r="I43" s="804" t="s">
        <v>306</v>
      </c>
    </row>
    <row r="44" spans="1:21" ht="10.35" customHeight="1">
      <c r="A44" s="2367"/>
      <c r="B44" s="802" t="s">
        <v>1610</v>
      </c>
      <c r="C44" s="809" t="s">
        <v>306</v>
      </c>
      <c r="D44" s="809" t="s">
        <v>306</v>
      </c>
      <c r="E44" s="809" t="s">
        <v>306</v>
      </c>
      <c r="F44" s="809" t="s">
        <v>306</v>
      </c>
      <c r="G44" s="809" t="s">
        <v>306</v>
      </c>
      <c r="H44" s="809" t="s">
        <v>306</v>
      </c>
      <c r="I44" s="805" t="s">
        <v>306</v>
      </c>
    </row>
    <row r="45" spans="1:21" ht="10.35" customHeight="1">
      <c r="A45" s="2367"/>
      <c r="B45" s="803" t="s">
        <v>1611</v>
      </c>
      <c r="C45" s="804" t="s">
        <v>306</v>
      </c>
      <c r="D45" s="804" t="s">
        <v>306</v>
      </c>
      <c r="E45" s="804" t="s">
        <v>306</v>
      </c>
      <c r="F45" s="804" t="s">
        <v>306</v>
      </c>
      <c r="G45" s="804" t="s">
        <v>306</v>
      </c>
      <c r="H45" s="804" t="s">
        <v>306</v>
      </c>
      <c r="I45" s="804" t="s">
        <v>306</v>
      </c>
    </row>
    <row r="46" spans="1:21" ht="10.35" customHeight="1">
      <c r="A46" s="2367" t="s">
        <v>1444</v>
      </c>
      <c r="B46" s="802" t="s">
        <v>1624</v>
      </c>
      <c r="C46" s="809" t="s">
        <v>306</v>
      </c>
      <c r="D46" s="809" t="s">
        <v>306</v>
      </c>
      <c r="E46" s="809" t="s">
        <v>306</v>
      </c>
      <c r="F46" s="809" t="s">
        <v>306</v>
      </c>
      <c r="G46" s="809" t="s">
        <v>306</v>
      </c>
      <c r="H46" s="809" t="s">
        <v>306</v>
      </c>
      <c r="I46" s="809" t="s">
        <v>306</v>
      </c>
    </row>
    <row r="47" spans="1:21" ht="10.35" customHeight="1">
      <c r="A47" s="2367"/>
      <c r="B47" s="803" t="s">
        <v>1625</v>
      </c>
      <c r="C47" s="813">
        <v>13676.6</v>
      </c>
      <c r="D47" s="813">
        <v>20690</v>
      </c>
      <c r="E47" s="813">
        <v>134467.74379336645</v>
      </c>
      <c r="F47" s="813">
        <v>1092.17</v>
      </c>
      <c r="G47" s="813">
        <v>46153.9</v>
      </c>
      <c r="H47" s="813">
        <v>5.55</v>
      </c>
      <c r="I47" s="813">
        <v>85.729936708860706</v>
      </c>
    </row>
    <row r="48" spans="1:21" ht="10.35" customHeight="1">
      <c r="A48" s="2367"/>
      <c r="B48" s="802" t="s">
        <v>1606</v>
      </c>
      <c r="C48" s="809">
        <v>192.90185856036001</v>
      </c>
      <c r="D48" s="809">
        <v>340.27337576626297</v>
      </c>
      <c r="E48" s="809">
        <v>2114.7479595678601</v>
      </c>
      <c r="F48" s="809">
        <v>1.9771225385058301E-2</v>
      </c>
      <c r="G48" s="809">
        <v>975.24754940315302</v>
      </c>
      <c r="H48" s="809">
        <v>6.8675233383951104</v>
      </c>
      <c r="I48" s="805">
        <v>74.975264901960799</v>
      </c>
    </row>
    <row r="49" spans="1:9" ht="10.35" customHeight="1">
      <c r="A49" s="2367"/>
      <c r="B49" s="803" t="s">
        <v>1607</v>
      </c>
      <c r="C49" s="813">
        <v>106791.54408599999</v>
      </c>
      <c r="D49" s="813">
        <v>166885.88650399999</v>
      </c>
      <c r="E49" s="813">
        <v>401773.59483193699</v>
      </c>
      <c r="F49" s="813">
        <v>5120.409431</v>
      </c>
      <c r="G49" s="813">
        <v>633614.31000000006</v>
      </c>
      <c r="H49" s="813">
        <v>5.0147492629999997</v>
      </c>
      <c r="I49" s="813">
        <v>74.957247540983602</v>
      </c>
    </row>
    <row r="50" spans="1:9" ht="10.35" customHeight="1">
      <c r="A50" s="2367"/>
      <c r="B50" s="802" t="s">
        <v>1608</v>
      </c>
      <c r="C50" s="809">
        <v>85.77</v>
      </c>
      <c r="D50" s="809">
        <v>800.83</v>
      </c>
      <c r="E50" s="809">
        <v>199.64</v>
      </c>
      <c r="F50" s="809" t="s">
        <v>306</v>
      </c>
      <c r="G50" s="805">
        <v>805.81</v>
      </c>
      <c r="H50" s="805">
        <v>0.54</v>
      </c>
      <c r="I50" s="809">
        <v>15.4</v>
      </c>
    </row>
    <row r="51" spans="1:9" ht="10.35" customHeight="1">
      <c r="A51" s="2367"/>
      <c r="B51" s="803" t="s">
        <v>1609</v>
      </c>
      <c r="C51" s="804" t="s">
        <v>306</v>
      </c>
      <c r="D51" s="804" t="s">
        <v>306</v>
      </c>
      <c r="E51" s="804" t="s">
        <v>306</v>
      </c>
      <c r="F51" s="804" t="s">
        <v>306</v>
      </c>
      <c r="G51" s="804" t="s">
        <v>306</v>
      </c>
      <c r="H51" s="804" t="s">
        <v>306</v>
      </c>
      <c r="I51" s="804" t="s">
        <v>306</v>
      </c>
    </row>
    <row r="52" spans="1:9" ht="10.35" customHeight="1">
      <c r="A52" s="2367"/>
      <c r="B52" s="802" t="s">
        <v>1610</v>
      </c>
      <c r="C52" s="809" t="s">
        <v>306</v>
      </c>
      <c r="D52" s="809" t="s">
        <v>306</v>
      </c>
      <c r="E52" s="809" t="s">
        <v>306</v>
      </c>
      <c r="F52" s="809" t="s">
        <v>306</v>
      </c>
      <c r="G52" s="809" t="s">
        <v>306</v>
      </c>
      <c r="H52" s="809" t="s">
        <v>306</v>
      </c>
      <c r="I52" s="809" t="s">
        <v>306</v>
      </c>
    </row>
    <row r="53" spans="1:9" ht="10.35" customHeight="1">
      <c r="A53" s="2367"/>
      <c r="B53" s="803" t="s">
        <v>1611</v>
      </c>
      <c r="C53" s="804" t="s">
        <v>306</v>
      </c>
      <c r="D53" s="804" t="s">
        <v>306</v>
      </c>
      <c r="E53" s="804" t="s">
        <v>306</v>
      </c>
      <c r="F53" s="804" t="s">
        <v>306</v>
      </c>
      <c r="G53" s="804" t="s">
        <v>306</v>
      </c>
      <c r="H53" s="804" t="s">
        <v>306</v>
      </c>
      <c r="I53" s="804" t="s">
        <v>306</v>
      </c>
    </row>
    <row r="54" spans="1:9" ht="7.5" customHeight="1">
      <c r="A54" s="1622"/>
      <c r="B54" s="1622"/>
      <c r="C54" s="1623"/>
      <c r="D54" s="1623"/>
      <c r="E54" s="1623"/>
      <c r="F54" s="1623"/>
      <c r="G54" s="1623"/>
      <c r="H54" s="1623"/>
      <c r="I54" s="1623"/>
    </row>
    <row r="55" spans="1:9">
      <c r="A55" s="806" t="s">
        <v>16</v>
      </c>
      <c r="B55" s="806" t="s">
        <v>1366</v>
      </c>
      <c r="C55" s="1409"/>
      <c r="D55" s="285"/>
      <c r="E55" s="806" t="s">
        <v>1469</v>
      </c>
      <c r="F55" s="1409"/>
      <c r="G55" s="1409"/>
      <c r="H55" s="1409"/>
      <c r="I55" s="1409"/>
    </row>
    <row r="56" spans="1:9">
      <c r="A56" s="1409"/>
      <c r="B56" s="1409"/>
      <c r="C56" s="1409"/>
      <c r="D56" s="1409"/>
      <c r="E56" s="806" t="s">
        <v>409</v>
      </c>
      <c r="F56" s="1409"/>
      <c r="G56" s="1409"/>
      <c r="H56" s="1409"/>
      <c r="I56" s="1409"/>
    </row>
    <row r="57" spans="1:9">
      <c r="G57" s="140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45" firstPageNumber="109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5"/>
  <sheetViews>
    <sheetView topLeftCell="A25" zoomScale="120" zoomScaleNormal="120" workbookViewId="0">
      <selection activeCell="M44" sqref="M44"/>
    </sheetView>
  </sheetViews>
  <sheetFormatPr defaultRowHeight="12.75"/>
  <cols>
    <col min="1" max="1" width="7.85546875" style="1409" customWidth="1"/>
    <col min="2" max="2" width="8.5703125" style="1409" customWidth="1"/>
    <col min="3" max="3" width="7.42578125" style="1409" bestFit="1" customWidth="1"/>
    <col min="4" max="4" width="8.28515625" style="1409" customWidth="1"/>
    <col min="5" max="5" width="7.7109375" style="1409" customWidth="1"/>
    <col min="6" max="7" width="7.85546875" style="1409" customWidth="1"/>
    <col min="8" max="8" width="8.42578125" style="1409" customWidth="1"/>
    <col min="9" max="9" width="8.7109375" style="1409" customWidth="1"/>
    <col min="10" max="10" width="7.140625" style="1409" customWidth="1"/>
    <col min="11" max="11" width="5.42578125" style="1409" customWidth="1"/>
    <col min="12" max="13" width="6.28515625" style="1409" customWidth="1"/>
    <col min="14" max="14" width="5.42578125" style="1409" customWidth="1"/>
    <col min="15" max="15" width="8" style="1409" customWidth="1"/>
    <col min="16" max="16" width="7.5703125" style="1409" customWidth="1"/>
    <col min="17" max="17" width="7" style="1409" customWidth="1"/>
    <col min="18" max="18" width="6.85546875" style="1409" customWidth="1"/>
    <col min="19" max="19" width="8.140625" style="1409" customWidth="1"/>
    <col min="20" max="20" width="7.85546875" style="1409" customWidth="1"/>
    <col min="21" max="21" width="10.140625" style="1409" bestFit="1" customWidth="1"/>
    <col min="22" max="16384" width="9.140625" style="1409"/>
  </cols>
  <sheetData>
    <row r="1" spans="1:20" ht="18.75">
      <c r="F1" s="2386" t="s">
        <v>2239</v>
      </c>
      <c r="G1" s="2386"/>
      <c r="H1" s="2386"/>
      <c r="I1" s="2386"/>
      <c r="J1" s="776" t="s">
        <v>2240</v>
      </c>
      <c r="K1" s="776"/>
      <c r="L1" s="776"/>
      <c r="M1" s="776"/>
      <c r="N1" s="776"/>
      <c r="O1" s="776"/>
    </row>
    <row r="2" spans="1:20" ht="13.5" customHeight="1">
      <c r="A2" s="766"/>
      <c r="B2" s="767"/>
      <c r="C2" s="767"/>
      <c r="D2" s="774"/>
      <c r="E2" s="774"/>
      <c r="F2" s="774"/>
      <c r="G2" s="774"/>
      <c r="H2" s="774"/>
      <c r="I2" s="768"/>
      <c r="J2" s="787"/>
      <c r="K2" s="787"/>
      <c r="L2" s="787"/>
      <c r="M2" s="768"/>
      <c r="N2" s="768"/>
      <c r="O2" s="768"/>
      <c r="P2" s="767"/>
      <c r="Q2" s="767"/>
      <c r="R2" s="2333" t="s">
        <v>2392</v>
      </c>
      <c r="S2" s="2387"/>
      <c r="T2" s="2387"/>
    </row>
    <row r="3" spans="1:20" ht="15">
      <c r="A3" s="769"/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769"/>
      <c r="Q3" s="769"/>
      <c r="R3" s="2388" t="s">
        <v>24</v>
      </c>
      <c r="S3" s="2389"/>
      <c r="T3" s="2389"/>
    </row>
    <row r="4" spans="1:20" ht="14.25" customHeight="1">
      <c r="A4" s="2353" t="s">
        <v>527</v>
      </c>
      <c r="B4" s="2373" t="s">
        <v>2273</v>
      </c>
      <c r="C4" s="2374"/>
      <c r="D4" s="2374"/>
      <c r="E4" s="2374"/>
      <c r="F4" s="2375"/>
      <c r="G4" s="2376" t="s">
        <v>2241</v>
      </c>
      <c r="H4" s="2377"/>
      <c r="I4" s="2378"/>
      <c r="J4" s="2379" t="s">
        <v>2242</v>
      </c>
      <c r="K4" s="2374"/>
      <c r="L4" s="2374"/>
      <c r="M4" s="2375"/>
      <c r="N4" s="2380" t="s">
        <v>2292</v>
      </c>
      <c r="O4" s="2381" t="s">
        <v>2277</v>
      </c>
      <c r="P4" s="2381" t="s">
        <v>2276</v>
      </c>
      <c r="Q4" s="2381" t="s">
        <v>2243</v>
      </c>
      <c r="R4" s="2342" t="s">
        <v>2301</v>
      </c>
      <c r="S4" s="2381" t="s">
        <v>2278</v>
      </c>
      <c r="T4" s="2383" t="s">
        <v>527</v>
      </c>
    </row>
    <row r="5" spans="1:20" ht="68.25" customHeight="1">
      <c r="A5" s="2354"/>
      <c r="B5" s="1224" t="s">
        <v>2244</v>
      </c>
      <c r="C5" s="1225" t="s">
        <v>2245</v>
      </c>
      <c r="D5" s="1719" t="s">
        <v>2246</v>
      </c>
      <c r="E5" s="1257" t="s">
        <v>2274</v>
      </c>
      <c r="F5" s="1226" t="s">
        <v>2247</v>
      </c>
      <c r="G5" s="1718" t="s">
        <v>2248</v>
      </c>
      <c r="H5" s="1718" t="s">
        <v>2249</v>
      </c>
      <c r="I5" s="1718" t="s">
        <v>2250</v>
      </c>
      <c r="J5" s="1718" t="s">
        <v>2251</v>
      </c>
      <c r="K5" s="1261" t="s">
        <v>2275</v>
      </c>
      <c r="L5" s="1227" t="s">
        <v>2252</v>
      </c>
      <c r="M5" s="1273" t="s">
        <v>2300</v>
      </c>
      <c r="N5" s="2009"/>
      <c r="O5" s="2009"/>
      <c r="P5" s="2009"/>
      <c r="Q5" s="2009"/>
      <c r="R5" s="2343"/>
      <c r="S5" s="2382"/>
      <c r="T5" s="2384"/>
    </row>
    <row r="6" spans="1:20" ht="11.25" customHeight="1">
      <c r="A6" s="2355"/>
      <c r="B6" s="1720">
        <v>1</v>
      </c>
      <c r="C6" s="1228">
        <v>2</v>
      </c>
      <c r="D6" s="1228">
        <v>3</v>
      </c>
      <c r="E6" s="1228">
        <v>4</v>
      </c>
      <c r="F6" s="1228">
        <v>5</v>
      </c>
      <c r="G6" s="1228">
        <v>6</v>
      </c>
      <c r="H6" s="1228">
        <v>7</v>
      </c>
      <c r="I6" s="1228">
        <v>8</v>
      </c>
      <c r="J6" s="1228">
        <v>9</v>
      </c>
      <c r="K6" s="1228">
        <v>10</v>
      </c>
      <c r="L6" s="1228">
        <v>11</v>
      </c>
      <c r="M6" s="1228">
        <v>12</v>
      </c>
      <c r="N6" s="1228">
        <v>13</v>
      </c>
      <c r="O6" s="1228">
        <v>14</v>
      </c>
      <c r="P6" s="1228">
        <v>15</v>
      </c>
      <c r="Q6" s="1228">
        <v>16</v>
      </c>
      <c r="R6" s="1228">
        <v>17</v>
      </c>
      <c r="S6" s="1228">
        <v>18</v>
      </c>
      <c r="T6" s="2385"/>
    </row>
    <row r="7" spans="1:20" ht="12.75" customHeight="1">
      <c r="A7" s="1551" t="s">
        <v>1471</v>
      </c>
      <c r="B7" s="1552">
        <v>5778.93</v>
      </c>
      <c r="C7" s="1552">
        <v>25743.57</v>
      </c>
      <c r="D7" s="1552">
        <v>23651.01</v>
      </c>
      <c r="E7" s="1552">
        <v>5900.44</v>
      </c>
      <c r="F7" s="1552">
        <f>E7+D7+C7+B7</f>
        <v>61073.95</v>
      </c>
      <c r="G7" s="1552">
        <v>3372.6</v>
      </c>
      <c r="H7" s="1552">
        <v>11661.04</v>
      </c>
      <c r="I7" s="1552">
        <f>H7+G7</f>
        <v>15033.640000000001</v>
      </c>
      <c r="J7" s="1552">
        <v>1902.61</v>
      </c>
      <c r="K7" s="1552">
        <v>23.77</v>
      </c>
      <c r="L7" s="1552">
        <v>344.05</v>
      </c>
      <c r="M7" s="1552">
        <f>J7+K7+L7</f>
        <v>2270.4299999999998</v>
      </c>
      <c r="N7" s="1552">
        <f>86.61+71.78+248.27</f>
        <v>406.65999999999997</v>
      </c>
      <c r="O7" s="1552">
        <f>N7+M7+I7+F7</f>
        <v>78784.679999999993</v>
      </c>
      <c r="P7" s="1552">
        <v>32254.38</v>
      </c>
      <c r="Q7" s="1552">
        <v>20001.87</v>
      </c>
      <c r="R7" s="1552">
        <v>46530.3</v>
      </c>
      <c r="S7" s="1552">
        <v>287704.5</v>
      </c>
      <c r="T7" s="1550" t="s">
        <v>1471</v>
      </c>
    </row>
    <row r="8" spans="1:20" ht="12.75" customHeight="1">
      <c r="A8" s="1598" t="s">
        <v>1600</v>
      </c>
      <c r="B8" s="1233">
        <v>10372.989999999998</v>
      </c>
      <c r="C8" s="1233">
        <v>26930.83</v>
      </c>
      <c r="D8" s="1233">
        <v>27234.410000000003</v>
      </c>
      <c r="E8" s="1233">
        <v>5043.63</v>
      </c>
      <c r="F8" s="1233">
        <v>69581.86</v>
      </c>
      <c r="G8" s="1233">
        <v>3202.32</v>
      </c>
      <c r="H8" s="1233">
        <v>15495.210000000001</v>
      </c>
      <c r="I8" s="1233">
        <v>18697.530000000002</v>
      </c>
      <c r="J8" s="1233">
        <v>1366.67</v>
      </c>
      <c r="K8" s="1233">
        <v>47.739999999999995</v>
      </c>
      <c r="L8" s="1233">
        <v>471.64</v>
      </c>
      <c r="M8" s="1233">
        <v>1886.05</v>
      </c>
      <c r="N8" s="1233">
        <v>176.94</v>
      </c>
      <c r="O8" s="1233">
        <v>90342.38</v>
      </c>
      <c r="P8" s="1233">
        <v>40402.92</v>
      </c>
      <c r="Q8" s="1233">
        <v>24896.420000000002</v>
      </c>
      <c r="R8" s="1233">
        <v>49939.46</v>
      </c>
      <c r="S8" s="1233">
        <v>287704.45</v>
      </c>
      <c r="T8" s="1599" t="s">
        <v>1600</v>
      </c>
    </row>
    <row r="9" spans="1:20" ht="12.75" customHeight="1">
      <c r="A9" s="1234" t="s">
        <v>1695</v>
      </c>
      <c r="B9" s="1235">
        <v>8491.06</v>
      </c>
      <c r="C9" s="1235">
        <v>16756.449999999997</v>
      </c>
      <c r="D9" s="1235">
        <v>13843.539999999999</v>
      </c>
      <c r="E9" s="1235">
        <v>4590.7800000000007</v>
      </c>
      <c r="F9" s="1235">
        <v>43681.829999999994</v>
      </c>
      <c r="G9" s="1235">
        <v>3009.92</v>
      </c>
      <c r="H9" s="1235">
        <v>18637.46</v>
      </c>
      <c r="I9" s="1235">
        <v>21647.38</v>
      </c>
      <c r="J9" s="1235">
        <v>1341.26</v>
      </c>
      <c r="K9" s="1235">
        <v>29.64</v>
      </c>
      <c r="L9" s="1235">
        <v>249.21999999999997</v>
      </c>
      <c r="M9" s="1235">
        <v>1620.1200000000001</v>
      </c>
      <c r="N9" s="1235">
        <v>178.43</v>
      </c>
      <c r="O9" s="1235">
        <v>67127.759999999995</v>
      </c>
      <c r="P9" s="1235">
        <v>52699.41</v>
      </c>
      <c r="Q9" s="1235">
        <v>28105.119999999999</v>
      </c>
      <c r="R9" s="1235">
        <v>14428.349999999999</v>
      </c>
      <c r="S9" s="1235">
        <v>302132.96999999997</v>
      </c>
      <c r="T9" s="1239" t="s">
        <v>1695</v>
      </c>
    </row>
    <row r="10" spans="1:20" ht="12.75" customHeight="1">
      <c r="A10" s="1236" t="s">
        <v>1764</v>
      </c>
      <c r="B10" s="1229">
        <f>SUM(B11:B22)</f>
        <v>9550.2400000000016</v>
      </c>
      <c r="C10" s="1229">
        <f t="shared" ref="C10:N10" si="0">SUM(C11:C22)</f>
        <v>42794.799999999988</v>
      </c>
      <c r="D10" s="1229">
        <f t="shared" si="0"/>
        <v>31518.37999999999</v>
      </c>
      <c r="E10" s="1229">
        <f t="shared" si="0"/>
        <v>7403.1</v>
      </c>
      <c r="F10" s="1229">
        <f t="shared" si="0"/>
        <v>91266.52</v>
      </c>
      <c r="G10" s="1229">
        <f t="shared" si="0"/>
        <v>1963.54</v>
      </c>
      <c r="H10" s="1229">
        <f t="shared" si="0"/>
        <v>16981.04</v>
      </c>
      <c r="I10" s="1229">
        <f t="shared" si="0"/>
        <v>18944.579999999998</v>
      </c>
      <c r="J10" s="1229">
        <f t="shared" si="0"/>
        <v>1566</v>
      </c>
      <c r="K10" s="1229">
        <f t="shared" si="0"/>
        <v>22.839999999999996</v>
      </c>
      <c r="L10" s="1229">
        <f t="shared" si="0"/>
        <v>180.29999999999998</v>
      </c>
      <c r="M10" s="1229">
        <f t="shared" si="0"/>
        <v>1769.1399999999999</v>
      </c>
      <c r="N10" s="1229">
        <f t="shared" si="0"/>
        <v>208.04</v>
      </c>
      <c r="O10" s="1229">
        <f>SUM(O11:O22)</f>
        <v>112188.27999999997</v>
      </c>
      <c r="P10" s="1229">
        <f t="shared" ref="P10" si="1">SUM(P11:P22)</f>
        <v>70174.210000000006</v>
      </c>
      <c r="Q10" s="1229">
        <f>SUM(Q11:Q22)</f>
        <v>35087.29</v>
      </c>
      <c r="R10" s="1229">
        <f t="shared" ref="R10" si="2">SUM(R11:R22)</f>
        <v>42014.069999999992</v>
      </c>
      <c r="S10" s="1229">
        <f>S22</f>
        <v>344143.94</v>
      </c>
      <c r="T10" s="1242" t="s">
        <v>1764</v>
      </c>
    </row>
    <row r="11" spans="1:20" ht="12.75" customHeight="1">
      <c r="A11" s="1230" t="s">
        <v>606</v>
      </c>
      <c r="B11" s="1231">
        <v>808.43</v>
      </c>
      <c r="C11" s="1231">
        <v>3028.48</v>
      </c>
      <c r="D11" s="1231">
        <v>2560.14</v>
      </c>
      <c r="E11" s="1231">
        <v>626.16</v>
      </c>
      <c r="F11" s="1231">
        <f t="shared" ref="F11:F38" si="3">E11+D11+C11+B11</f>
        <v>7023.21</v>
      </c>
      <c r="G11" s="1231">
        <v>177.47</v>
      </c>
      <c r="H11" s="1231">
        <v>1270.1600000000001</v>
      </c>
      <c r="I11" s="1231">
        <f>G11+H11</f>
        <v>1447.63</v>
      </c>
      <c r="J11" s="1231">
        <v>163.26</v>
      </c>
      <c r="K11" s="1231">
        <v>10.78</v>
      </c>
      <c r="L11" s="1231">
        <v>46.11</v>
      </c>
      <c r="M11" s="1231">
        <f>L11+K11+J11</f>
        <v>220.14999999999998</v>
      </c>
      <c r="N11" s="1231">
        <f>9.47+5.16</f>
        <v>14.63</v>
      </c>
      <c r="O11" s="1231">
        <f>N11+M11+I11+F11</f>
        <v>8705.6200000000008</v>
      </c>
      <c r="P11" s="1231">
        <v>4997.3900000000003</v>
      </c>
      <c r="Q11" s="1231">
        <v>2243.52</v>
      </c>
      <c r="R11" s="1231">
        <f t="shared" ref="R11:R22" si="4">O11-P11</f>
        <v>3708.2300000000005</v>
      </c>
      <c r="S11" s="1231">
        <v>305838.09999999998</v>
      </c>
      <c r="T11" s="1241" t="s">
        <v>606</v>
      </c>
    </row>
    <row r="12" spans="1:20" ht="12.75" customHeight="1">
      <c r="A12" s="1232" t="s">
        <v>607</v>
      </c>
      <c r="B12" s="1233">
        <v>869.3</v>
      </c>
      <c r="C12" s="1233">
        <v>3056.75</v>
      </c>
      <c r="D12" s="1233">
        <v>2384.9499999999998</v>
      </c>
      <c r="E12" s="1233">
        <v>606.48</v>
      </c>
      <c r="F12" s="1233">
        <f t="shared" si="3"/>
        <v>6917.4800000000005</v>
      </c>
      <c r="G12" s="1233">
        <v>202.77</v>
      </c>
      <c r="H12" s="1233">
        <v>1548.32</v>
      </c>
      <c r="I12" s="1233">
        <f>G12+H12</f>
        <v>1751.09</v>
      </c>
      <c r="J12" s="1233">
        <v>133.59</v>
      </c>
      <c r="K12" s="1233">
        <v>3</v>
      </c>
      <c r="L12" s="1233">
        <v>25.63</v>
      </c>
      <c r="M12" s="1233">
        <f>J12+K12+L12</f>
        <v>162.22</v>
      </c>
      <c r="N12" s="1233">
        <f>9.13+12.37</f>
        <v>21.5</v>
      </c>
      <c r="O12" s="1233">
        <f>F12+I12+M12+N12</f>
        <v>8852.2899999999991</v>
      </c>
      <c r="P12" s="1233">
        <v>5105.4799999999996</v>
      </c>
      <c r="Q12" s="1233">
        <v>3746.81</v>
      </c>
      <c r="R12" s="1233">
        <f t="shared" si="4"/>
        <v>3746.8099999999995</v>
      </c>
      <c r="S12" s="1233">
        <f>R12+S11</f>
        <v>309584.90999999997</v>
      </c>
      <c r="T12" s="1240" t="s">
        <v>607</v>
      </c>
    </row>
    <row r="13" spans="1:20" ht="12.75" customHeight="1">
      <c r="A13" s="1237" t="s">
        <v>601</v>
      </c>
      <c r="B13" s="1231">
        <v>693.78</v>
      </c>
      <c r="C13" s="1231">
        <v>3941.16</v>
      </c>
      <c r="D13" s="1231">
        <v>2850.54</v>
      </c>
      <c r="E13" s="1231">
        <v>695.7</v>
      </c>
      <c r="F13" s="1231">
        <f t="shared" si="3"/>
        <v>8181.1799999999994</v>
      </c>
      <c r="G13" s="1231">
        <v>218.15</v>
      </c>
      <c r="H13" s="1231">
        <v>1763.91</v>
      </c>
      <c r="I13" s="1231">
        <f>H13+G13</f>
        <v>1982.0600000000002</v>
      </c>
      <c r="J13" s="1231">
        <v>179.93</v>
      </c>
      <c r="K13" s="1231">
        <v>1.95</v>
      </c>
      <c r="L13" s="1231">
        <v>26.21</v>
      </c>
      <c r="M13" s="1231">
        <f>L13+K13+J13</f>
        <v>208.09</v>
      </c>
      <c r="N13" s="1231">
        <f>11.17+5.12</f>
        <v>16.29</v>
      </c>
      <c r="O13" s="1231">
        <f t="shared" ref="O13:O18" si="5">N13+M13+I13+F13</f>
        <v>10387.619999999999</v>
      </c>
      <c r="P13" s="1231">
        <v>6180.35</v>
      </c>
      <c r="Q13" s="1231">
        <v>3004.23</v>
      </c>
      <c r="R13" s="1231">
        <f t="shared" si="4"/>
        <v>4207.2699999999986</v>
      </c>
      <c r="S13" s="1231">
        <f>S12+R13</f>
        <v>313792.18</v>
      </c>
      <c r="T13" s="1243" t="s">
        <v>601</v>
      </c>
    </row>
    <row r="14" spans="1:20" ht="12.75" customHeight="1">
      <c r="A14" s="1238" t="s">
        <v>608</v>
      </c>
      <c r="B14" s="1233">
        <v>979.94</v>
      </c>
      <c r="C14" s="1233">
        <v>3409.89</v>
      </c>
      <c r="D14" s="1233">
        <v>2482.9299999999998</v>
      </c>
      <c r="E14" s="1233">
        <v>530.54</v>
      </c>
      <c r="F14" s="1233">
        <f t="shared" si="3"/>
        <v>7403.2999999999993</v>
      </c>
      <c r="G14" s="1233">
        <v>192.73</v>
      </c>
      <c r="H14" s="1233">
        <v>1457.79</v>
      </c>
      <c r="I14" s="1233">
        <f>G14+H14</f>
        <v>1650.52</v>
      </c>
      <c r="J14" s="1233">
        <v>156.94999999999999</v>
      </c>
      <c r="K14" s="1233">
        <v>1.02</v>
      </c>
      <c r="L14" s="1233">
        <v>22.86</v>
      </c>
      <c r="M14" s="1233">
        <f>J14+K14+L14</f>
        <v>180.82999999999998</v>
      </c>
      <c r="N14" s="1233">
        <f>8.99+6.23</f>
        <v>15.22</v>
      </c>
      <c r="O14" s="1233">
        <f t="shared" si="5"/>
        <v>9249.869999999999</v>
      </c>
      <c r="P14" s="1233">
        <v>5215.33</v>
      </c>
      <c r="Q14" s="1233">
        <v>2543.5700000000002</v>
      </c>
      <c r="R14" s="1233">
        <f t="shared" si="4"/>
        <v>4034.5399999999991</v>
      </c>
      <c r="S14" s="1233">
        <f>S13+R14</f>
        <v>317826.71999999997</v>
      </c>
      <c r="T14" s="1244" t="s">
        <v>608</v>
      </c>
    </row>
    <row r="15" spans="1:20" ht="12.75" customHeight="1">
      <c r="A15" s="1237" t="s">
        <v>609</v>
      </c>
      <c r="B15" s="1231">
        <v>713.11</v>
      </c>
      <c r="C15" s="1231">
        <v>3696.99</v>
      </c>
      <c r="D15" s="1231">
        <v>2613.79</v>
      </c>
      <c r="E15" s="1231">
        <v>611.45000000000005</v>
      </c>
      <c r="F15" s="1231">
        <f t="shared" si="3"/>
        <v>7635.3399999999992</v>
      </c>
      <c r="G15" s="1231">
        <v>201.27</v>
      </c>
      <c r="H15" s="1231">
        <v>1469.62</v>
      </c>
      <c r="I15" s="1231">
        <f>H15+G15</f>
        <v>1670.8899999999999</v>
      </c>
      <c r="J15" s="1231">
        <v>170.32</v>
      </c>
      <c r="K15" s="1231">
        <v>2.2000000000000002</v>
      </c>
      <c r="L15" s="1231">
        <v>36.19</v>
      </c>
      <c r="M15" s="1231">
        <f>L15+K15+J15</f>
        <v>208.70999999999998</v>
      </c>
      <c r="N15" s="1231">
        <f>10.34+8.99+13.36</f>
        <v>32.69</v>
      </c>
      <c r="O15" s="1231">
        <f t="shared" si="5"/>
        <v>9547.6299999999992</v>
      </c>
      <c r="P15" s="1231">
        <v>6145.06</v>
      </c>
      <c r="Q15" s="1231">
        <v>3000.15</v>
      </c>
      <c r="R15" s="1231">
        <f t="shared" si="4"/>
        <v>3402.5699999999988</v>
      </c>
      <c r="S15" s="1231">
        <f>R15+S14</f>
        <v>321229.28999999998</v>
      </c>
      <c r="T15" s="1243" t="s">
        <v>609</v>
      </c>
    </row>
    <row r="16" spans="1:20" ht="12.75" customHeight="1">
      <c r="A16" s="1238" t="s">
        <v>602</v>
      </c>
      <c r="B16" s="1233">
        <v>913.02</v>
      </c>
      <c r="C16" s="1233">
        <v>3016.41</v>
      </c>
      <c r="D16" s="1233">
        <v>2166.8200000000002</v>
      </c>
      <c r="E16" s="1233">
        <v>476.81</v>
      </c>
      <c r="F16" s="1233">
        <f t="shared" si="3"/>
        <v>6573.0599999999995</v>
      </c>
      <c r="G16" s="1233">
        <v>198.36</v>
      </c>
      <c r="H16" s="1233">
        <v>1292.8399999999999</v>
      </c>
      <c r="I16" s="1233">
        <f>H16+G16</f>
        <v>1491.1999999999998</v>
      </c>
      <c r="J16" s="1233">
        <v>144.83000000000001</v>
      </c>
      <c r="K16" s="1233">
        <v>1.78</v>
      </c>
      <c r="L16" s="1233">
        <v>7.14</v>
      </c>
      <c r="M16" s="1233">
        <f>L16+K16+J16</f>
        <v>153.75</v>
      </c>
      <c r="N16" s="1233">
        <f>9.43+5.73</f>
        <v>15.16</v>
      </c>
      <c r="O16" s="1233">
        <f t="shared" si="5"/>
        <v>8233.17</v>
      </c>
      <c r="P16" s="1233">
        <v>6790.97</v>
      </c>
      <c r="Q16" s="1233">
        <v>3014.61</v>
      </c>
      <c r="R16" s="1233">
        <f t="shared" si="4"/>
        <v>1442.1999999999998</v>
      </c>
      <c r="S16" s="1233">
        <f>R16+S15</f>
        <v>322671.49</v>
      </c>
      <c r="T16" s="1244" t="s">
        <v>602</v>
      </c>
    </row>
    <row r="17" spans="1:22" ht="12.75" customHeight="1">
      <c r="A17" s="1237" t="s">
        <v>610</v>
      </c>
      <c r="B17" s="1231">
        <v>858.06</v>
      </c>
      <c r="C17" s="1231">
        <v>4160.4399999999996</v>
      </c>
      <c r="D17" s="1231">
        <v>2981.14</v>
      </c>
      <c r="E17" s="1231">
        <v>709.29</v>
      </c>
      <c r="F17" s="1231">
        <f t="shared" si="3"/>
        <v>8708.9299999999985</v>
      </c>
      <c r="G17" s="1231">
        <v>212.74</v>
      </c>
      <c r="H17" s="1231">
        <v>1581.44</v>
      </c>
      <c r="I17" s="1231">
        <f t="shared" ref="I17:I40" si="6">G17+H17</f>
        <v>1794.18</v>
      </c>
      <c r="J17" s="1231">
        <v>119.84</v>
      </c>
      <c r="K17" s="1231">
        <v>0.9</v>
      </c>
      <c r="L17" s="1231">
        <v>4.88</v>
      </c>
      <c r="M17" s="1231">
        <f t="shared" ref="M17:M40" si="7">J17+K17+L17</f>
        <v>125.62</v>
      </c>
      <c r="N17" s="1231">
        <f>10.21+5.96</f>
        <v>16.170000000000002</v>
      </c>
      <c r="O17" s="1231">
        <f t="shared" si="5"/>
        <v>10644.899999999998</v>
      </c>
      <c r="P17" s="1231">
        <v>5429.8</v>
      </c>
      <c r="Q17" s="1231">
        <v>2645.14</v>
      </c>
      <c r="R17" s="1231">
        <f t="shared" si="4"/>
        <v>5215.0999999999976</v>
      </c>
      <c r="S17" s="1231">
        <f>R17+S16</f>
        <v>327886.58999999997</v>
      </c>
      <c r="T17" s="1243" t="s">
        <v>610</v>
      </c>
    </row>
    <row r="18" spans="1:22" ht="12.75" customHeight="1">
      <c r="A18" s="1238" t="s">
        <v>611</v>
      </c>
      <c r="B18" s="1233">
        <v>698.76</v>
      </c>
      <c r="C18" s="1233">
        <v>3813.49</v>
      </c>
      <c r="D18" s="1233">
        <v>2752.24</v>
      </c>
      <c r="E18" s="1233">
        <v>630.55999999999995</v>
      </c>
      <c r="F18" s="1233">
        <f t="shared" si="3"/>
        <v>7895.0499999999993</v>
      </c>
      <c r="G18" s="1233">
        <v>0</v>
      </c>
      <c r="H18" s="1233">
        <v>1581.44</v>
      </c>
      <c r="I18" s="1233">
        <f t="shared" si="6"/>
        <v>1581.44</v>
      </c>
      <c r="J18" s="1233">
        <v>104.68</v>
      </c>
      <c r="K18" s="1233">
        <v>0.15</v>
      </c>
      <c r="L18" s="1233">
        <v>1.26</v>
      </c>
      <c r="M18" s="1233">
        <f t="shared" si="7"/>
        <v>106.09000000000002</v>
      </c>
      <c r="N18" s="1233">
        <f>10.21+13.77</f>
        <v>23.98</v>
      </c>
      <c r="O18" s="1233">
        <f t="shared" si="5"/>
        <v>9606.56</v>
      </c>
      <c r="P18" s="1233">
        <v>5997.36</v>
      </c>
      <c r="Q18" s="1233">
        <v>2757.29</v>
      </c>
      <c r="R18" s="1233">
        <f t="shared" si="4"/>
        <v>3609.2</v>
      </c>
      <c r="S18" s="1233">
        <f t="shared" ref="S18:S21" si="8">R18+S17</f>
        <v>331495.78999999998</v>
      </c>
      <c r="T18" s="1244" t="s">
        <v>611</v>
      </c>
    </row>
    <row r="19" spans="1:22" ht="12.75" customHeight="1">
      <c r="A19" s="1237" t="s">
        <v>603</v>
      </c>
      <c r="B19" s="1231">
        <v>723.47</v>
      </c>
      <c r="C19" s="1231">
        <v>4440.25</v>
      </c>
      <c r="D19" s="1231">
        <v>2941.37</v>
      </c>
      <c r="E19" s="1231">
        <v>798.46</v>
      </c>
      <c r="F19" s="1231">
        <f t="shared" si="3"/>
        <v>8903.5499999999993</v>
      </c>
      <c r="G19" s="1231">
        <v>207.82</v>
      </c>
      <c r="H19" s="1231">
        <v>1528.86</v>
      </c>
      <c r="I19" s="1231">
        <f t="shared" si="6"/>
        <v>1736.6799999999998</v>
      </c>
      <c r="J19" s="1231">
        <v>106.06</v>
      </c>
      <c r="K19" s="1231">
        <v>0</v>
      </c>
      <c r="L19" s="1231">
        <v>4.16</v>
      </c>
      <c r="M19" s="1231">
        <f t="shared" si="7"/>
        <v>110.22</v>
      </c>
      <c r="N19" s="1231">
        <f>8.52+3.57</f>
        <v>12.09</v>
      </c>
      <c r="O19" s="1231">
        <f>F19+I19+M19+N19</f>
        <v>10762.539999999999</v>
      </c>
      <c r="P19" s="1231">
        <v>6871.27</v>
      </c>
      <c r="Q19" s="1231">
        <v>3714.38</v>
      </c>
      <c r="R19" s="1231">
        <f t="shared" si="4"/>
        <v>3891.2699999999986</v>
      </c>
      <c r="S19" s="1231">
        <f t="shared" si="8"/>
        <v>335387.06</v>
      </c>
      <c r="T19" s="1243" t="s">
        <v>603</v>
      </c>
    </row>
    <row r="20" spans="1:22" ht="12.75" customHeight="1">
      <c r="A20" s="1238" t="s">
        <v>612</v>
      </c>
      <c r="B20" s="1233">
        <v>257.56</v>
      </c>
      <c r="C20" s="1233">
        <v>2368.46</v>
      </c>
      <c r="D20" s="1233">
        <v>1624.35</v>
      </c>
      <c r="E20" s="1233">
        <v>432.56</v>
      </c>
      <c r="F20" s="1233">
        <f t="shared" si="3"/>
        <v>4682.93</v>
      </c>
      <c r="G20" s="1233">
        <v>150.66999999999999</v>
      </c>
      <c r="H20" s="1233">
        <v>970.85</v>
      </c>
      <c r="I20" s="1233">
        <f t="shared" si="6"/>
        <v>1121.52</v>
      </c>
      <c r="J20" s="1233">
        <v>71.540000000000006</v>
      </c>
      <c r="K20" s="1233">
        <v>0</v>
      </c>
      <c r="L20" s="1233">
        <v>2.15</v>
      </c>
      <c r="M20" s="1233">
        <f t="shared" si="7"/>
        <v>73.690000000000012</v>
      </c>
      <c r="N20" s="1233">
        <f>8.25+0.48</f>
        <v>8.73</v>
      </c>
      <c r="O20" s="1233">
        <f>N20+M20+I20+F20</f>
        <v>5886.8700000000008</v>
      </c>
      <c r="P20" s="1233">
        <v>4360.88</v>
      </c>
      <c r="Q20" s="1233">
        <v>2293.16</v>
      </c>
      <c r="R20" s="1233">
        <f t="shared" si="4"/>
        <v>1525.9900000000007</v>
      </c>
      <c r="S20" s="1233">
        <f t="shared" si="8"/>
        <v>336913.05</v>
      </c>
      <c r="T20" s="1244" t="s">
        <v>612</v>
      </c>
    </row>
    <row r="21" spans="1:22" ht="12.75" customHeight="1">
      <c r="A21" s="1237" t="s">
        <v>613</v>
      </c>
      <c r="B21" s="1231">
        <v>474.81</v>
      </c>
      <c r="C21" s="1231">
        <v>3049.1</v>
      </c>
      <c r="D21" s="1231">
        <v>2269.0100000000002</v>
      </c>
      <c r="E21" s="1231">
        <v>547.91</v>
      </c>
      <c r="F21" s="1231">
        <f t="shared" si="3"/>
        <v>6340.8300000000008</v>
      </c>
      <c r="G21" s="1231">
        <v>175.48</v>
      </c>
      <c r="H21" s="1231">
        <v>1058.6099999999999</v>
      </c>
      <c r="I21" s="1231">
        <f t="shared" si="6"/>
        <v>1234.0899999999999</v>
      </c>
      <c r="J21" s="1231">
        <v>88.08</v>
      </c>
      <c r="K21" s="1231">
        <v>0</v>
      </c>
      <c r="L21" s="1231">
        <v>2.35</v>
      </c>
      <c r="M21" s="1231">
        <f t="shared" si="7"/>
        <v>90.429999999999993</v>
      </c>
      <c r="N21" s="1231">
        <f>10.24+5.16</f>
        <v>15.4</v>
      </c>
      <c r="O21" s="1231">
        <f>N21+M21+I21+F21</f>
        <v>7680.7500000000009</v>
      </c>
      <c r="P21" s="1231">
        <v>5023.41</v>
      </c>
      <c r="Q21" s="1231">
        <v>2631.77</v>
      </c>
      <c r="R21" s="1231">
        <f t="shared" si="4"/>
        <v>2657.3400000000011</v>
      </c>
      <c r="S21" s="1231">
        <f t="shared" si="8"/>
        <v>339570.39</v>
      </c>
      <c r="T21" s="1243" t="s">
        <v>613</v>
      </c>
    </row>
    <row r="22" spans="1:22" ht="12.75" customHeight="1">
      <c r="A22" s="1238" t="s">
        <v>604</v>
      </c>
      <c r="B22" s="1233">
        <v>1560</v>
      </c>
      <c r="C22" s="1233">
        <v>4813.38</v>
      </c>
      <c r="D22" s="1233">
        <v>3891.1</v>
      </c>
      <c r="E22" s="1233">
        <v>737.18</v>
      </c>
      <c r="F22" s="1233">
        <f t="shared" si="3"/>
        <v>11001.66</v>
      </c>
      <c r="G22" s="1233">
        <v>26.08</v>
      </c>
      <c r="H22" s="1233">
        <v>1457.2</v>
      </c>
      <c r="I22" s="1233">
        <f t="shared" si="6"/>
        <v>1483.28</v>
      </c>
      <c r="J22" s="1233">
        <v>126.92</v>
      </c>
      <c r="K22" s="1233">
        <v>1.06</v>
      </c>
      <c r="L22" s="1233">
        <v>1.36</v>
      </c>
      <c r="M22" s="1233">
        <f t="shared" si="7"/>
        <v>129.34</v>
      </c>
      <c r="N22" s="1233">
        <f>10.19+5.99</f>
        <v>16.18</v>
      </c>
      <c r="O22" s="1233">
        <f>N22+M22+I22+F22</f>
        <v>12630.46</v>
      </c>
      <c r="P22" s="1233">
        <v>8056.91</v>
      </c>
      <c r="Q22" s="1233">
        <v>3492.66</v>
      </c>
      <c r="R22" s="1233">
        <f t="shared" si="4"/>
        <v>4573.5499999999993</v>
      </c>
      <c r="S22" s="1233">
        <f>R22+S21</f>
        <v>344143.94</v>
      </c>
      <c r="T22" s="1244" t="s">
        <v>604</v>
      </c>
    </row>
    <row r="23" spans="1:22" ht="12.75" customHeight="1">
      <c r="A23" s="1247" t="s">
        <v>2479</v>
      </c>
      <c r="B23" s="1235">
        <f>SUM(B24:B35)</f>
        <v>9366.43</v>
      </c>
      <c r="C23" s="1235">
        <f t="shared" ref="C23:R23" si="9">SUM(C24:C35)</f>
        <v>53146.05</v>
      </c>
      <c r="D23" s="1235">
        <f t="shared" si="9"/>
        <v>32999.51</v>
      </c>
      <c r="E23" s="1235">
        <f t="shared" si="9"/>
        <v>8140.11</v>
      </c>
      <c r="F23" s="1235">
        <f t="shared" si="9"/>
        <v>103652.1</v>
      </c>
      <c r="G23" s="1235">
        <f t="shared" si="9"/>
        <v>476.28000000000003</v>
      </c>
      <c r="H23" s="1235">
        <f t="shared" si="9"/>
        <v>2742.31</v>
      </c>
      <c r="I23" s="1235">
        <f t="shared" si="9"/>
        <v>3218.59</v>
      </c>
      <c r="J23" s="1235">
        <f t="shared" si="9"/>
        <v>866.29000000000008</v>
      </c>
      <c r="K23" s="1235">
        <f t="shared" si="9"/>
        <v>15.03</v>
      </c>
      <c r="L23" s="1235">
        <f t="shared" si="9"/>
        <v>101.71</v>
      </c>
      <c r="M23" s="1235">
        <f t="shared" si="9"/>
        <v>983.03000000000009</v>
      </c>
      <c r="N23" s="1235">
        <f t="shared" si="9"/>
        <v>208.49</v>
      </c>
      <c r="O23" s="1235">
        <f t="shared" si="9"/>
        <v>108062.20999999999</v>
      </c>
      <c r="P23" s="1235">
        <f t="shared" si="9"/>
        <v>88155.1</v>
      </c>
      <c r="Q23" s="1235">
        <f t="shared" si="9"/>
        <v>40008.300000000003</v>
      </c>
      <c r="R23" s="1235">
        <f t="shared" si="9"/>
        <v>19907.11</v>
      </c>
      <c r="S23" s="1235">
        <f>S35</f>
        <v>364051.04999999993</v>
      </c>
      <c r="T23" s="1254" t="s">
        <v>2479</v>
      </c>
      <c r="V23" s="854"/>
    </row>
    <row r="24" spans="1:22" ht="12.75" customHeight="1">
      <c r="A24" s="1238" t="s">
        <v>606</v>
      </c>
      <c r="B24" s="1233">
        <v>570.22</v>
      </c>
      <c r="C24" s="1233">
        <v>2484.9699999999998</v>
      </c>
      <c r="D24" s="1233">
        <v>1785.26</v>
      </c>
      <c r="E24" s="1233">
        <v>409.84</v>
      </c>
      <c r="F24" s="1233">
        <f t="shared" si="3"/>
        <v>5250.29</v>
      </c>
      <c r="G24" s="1233">
        <v>16.16</v>
      </c>
      <c r="H24" s="1233">
        <v>29.94</v>
      </c>
      <c r="I24" s="1233">
        <f t="shared" si="6"/>
        <v>46.1</v>
      </c>
      <c r="J24" s="1233">
        <v>57.09</v>
      </c>
      <c r="K24" s="1233">
        <v>0.38</v>
      </c>
      <c r="L24" s="1233">
        <v>2.0099999999999998</v>
      </c>
      <c r="M24" s="1233">
        <f t="shared" si="7"/>
        <v>59.480000000000004</v>
      </c>
      <c r="N24" s="1233">
        <f>8.17+0.97</f>
        <v>9.14</v>
      </c>
      <c r="O24" s="1233">
        <f t="shared" ref="O24:O35" si="10">N24+M24+I24+F24</f>
        <v>5365.01</v>
      </c>
      <c r="P24" s="1233">
        <v>3261.01</v>
      </c>
      <c r="Q24" s="1233">
        <v>2092.21</v>
      </c>
      <c r="R24" s="1233">
        <f t="shared" ref="R24:R37" si="11">O24-P24</f>
        <v>2104</v>
      </c>
      <c r="S24" s="1233">
        <f>S22+R24</f>
        <v>346247.94</v>
      </c>
      <c r="T24" s="1244" t="s">
        <v>606</v>
      </c>
    </row>
    <row r="25" spans="1:22" ht="12.75" customHeight="1">
      <c r="A25" s="1237" t="s">
        <v>607</v>
      </c>
      <c r="B25" s="1231">
        <v>691.98</v>
      </c>
      <c r="C25" s="1231">
        <v>4909.1499999999996</v>
      </c>
      <c r="D25" s="1231">
        <v>3278.11</v>
      </c>
      <c r="E25" s="1231">
        <v>746.5</v>
      </c>
      <c r="F25" s="1231">
        <f t="shared" si="3"/>
        <v>9625.74</v>
      </c>
      <c r="G25" s="1231">
        <v>32.72</v>
      </c>
      <c r="H25" s="1231">
        <v>122.9</v>
      </c>
      <c r="I25" s="1231">
        <f t="shared" si="6"/>
        <v>155.62</v>
      </c>
      <c r="J25" s="1231">
        <v>84.74</v>
      </c>
      <c r="K25" s="1231">
        <v>0.35</v>
      </c>
      <c r="L25" s="1231">
        <v>1.57</v>
      </c>
      <c r="M25" s="1231">
        <f t="shared" si="7"/>
        <v>86.659999999999982</v>
      </c>
      <c r="N25" s="1231">
        <f>10.59+12.89</f>
        <v>23.48</v>
      </c>
      <c r="O25" s="1231">
        <f t="shared" si="10"/>
        <v>9891.5</v>
      </c>
      <c r="P25" s="1231">
        <v>6262.9</v>
      </c>
      <c r="Q25" s="1231">
        <v>2998.87</v>
      </c>
      <c r="R25" s="1231">
        <f t="shared" si="11"/>
        <v>3628.6000000000004</v>
      </c>
      <c r="S25" s="1231">
        <f t="shared" ref="S25:S35" si="12">S24+R25</f>
        <v>349876.54</v>
      </c>
      <c r="T25" s="1243" t="s">
        <v>607</v>
      </c>
    </row>
    <row r="26" spans="1:22" ht="12.75" customHeight="1">
      <c r="A26" s="1238" t="s">
        <v>601</v>
      </c>
      <c r="B26" s="1233">
        <v>1015.11</v>
      </c>
      <c r="C26" s="1233">
        <v>5622.78</v>
      </c>
      <c r="D26" s="1233">
        <v>3554.91</v>
      </c>
      <c r="E26" s="1233">
        <v>775.67</v>
      </c>
      <c r="F26" s="1233">
        <f t="shared" si="3"/>
        <v>10968.470000000001</v>
      </c>
      <c r="G26" s="1233">
        <v>48.34</v>
      </c>
      <c r="H26" s="1233">
        <v>191.42</v>
      </c>
      <c r="I26" s="1233">
        <f t="shared" si="6"/>
        <v>239.76</v>
      </c>
      <c r="J26" s="1233">
        <v>117.26</v>
      </c>
      <c r="K26" s="1233">
        <v>0.03</v>
      </c>
      <c r="L26" s="1233">
        <v>5.58</v>
      </c>
      <c r="M26" s="1233">
        <f t="shared" si="7"/>
        <v>122.87</v>
      </c>
      <c r="N26" s="1233">
        <f>14.05+4.01</f>
        <v>18.060000000000002</v>
      </c>
      <c r="O26" s="1233">
        <f t="shared" si="10"/>
        <v>11349.160000000002</v>
      </c>
      <c r="P26" s="1233">
        <v>8523.6</v>
      </c>
      <c r="Q26" s="1233">
        <v>3511.39</v>
      </c>
      <c r="R26" s="1233">
        <f t="shared" si="11"/>
        <v>2825.5600000000013</v>
      </c>
      <c r="S26" s="1233">
        <f t="shared" si="12"/>
        <v>352702.1</v>
      </c>
      <c r="T26" s="1244" t="s">
        <v>601</v>
      </c>
    </row>
    <row r="27" spans="1:22" ht="12.75" customHeight="1">
      <c r="A27" s="1237" t="s">
        <v>608</v>
      </c>
      <c r="B27" s="1231">
        <v>628.05999999999995</v>
      </c>
      <c r="C27" s="1231">
        <v>4437.3500000000004</v>
      </c>
      <c r="D27" s="1231">
        <v>2724.27</v>
      </c>
      <c r="E27" s="1231">
        <v>612.28</v>
      </c>
      <c r="F27" s="1231">
        <f t="shared" si="3"/>
        <v>8401.9600000000009</v>
      </c>
      <c r="G27" s="1231">
        <v>40.81</v>
      </c>
      <c r="H27" s="1231">
        <v>178.4</v>
      </c>
      <c r="I27" s="1231">
        <f t="shared" si="6"/>
        <v>219.21</v>
      </c>
      <c r="J27" s="1231">
        <v>80.52</v>
      </c>
      <c r="K27" s="1231">
        <v>0.69</v>
      </c>
      <c r="L27" s="1231">
        <v>5.14</v>
      </c>
      <c r="M27" s="1231">
        <f t="shared" si="7"/>
        <v>86.35</v>
      </c>
      <c r="N27" s="1231">
        <f>10.76+4.43</f>
        <v>15.19</v>
      </c>
      <c r="O27" s="1231">
        <f t="shared" si="10"/>
        <v>8722.7100000000009</v>
      </c>
      <c r="P27" s="1231">
        <v>7956.19</v>
      </c>
      <c r="Q27" s="1231">
        <v>3209.61</v>
      </c>
      <c r="R27" s="1231">
        <f t="shared" si="11"/>
        <v>766.52000000000135</v>
      </c>
      <c r="S27" s="1231">
        <f t="shared" si="12"/>
        <v>353468.62</v>
      </c>
      <c r="T27" s="1243" t="s">
        <v>608</v>
      </c>
    </row>
    <row r="28" spans="1:22" ht="12.75" customHeight="1">
      <c r="A28" s="1238" t="s">
        <v>609</v>
      </c>
      <c r="B28" s="1233">
        <v>606.20000000000005</v>
      </c>
      <c r="C28" s="1233">
        <v>4555.96</v>
      </c>
      <c r="D28" s="1233">
        <v>2747.55</v>
      </c>
      <c r="E28" s="1233">
        <v>638.17999999999995</v>
      </c>
      <c r="F28" s="1233">
        <f t="shared" si="3"/>
        <v>8547.8900000000012</v>
      </c>
      <c r="G28" s="1233">
        <v>42.03</v>
      </c>
      <c r="H28" s="1233">
        <v>221.28</v>
      </c>
      <c r="I28" s="1233">
        <f t="shared" si="6"/>
        <v>263.31</v>
      </c>
      <c r="J28" s="1233">
        <v>100.17</v>
      </c>
      <c r="K28" s="1233">
        <v>0.39</v>
      </c>
      <c r="L28" s="1233">
        <v>3.61</v>
      </c>
      <c r="M28" s="1233">
        <f t="shared" si="7"/>
        <v>104.17</v>
      </c>
      <c r="N28" s="1233">
        <f>11.18+14.84</f>
        <v>26.02</v>
      </c>
      <c r="O28" s="1233">
        <f t="shared" si="10"/>
        <v>8941.3900000000012</v>
      </c>
      <c r="P28" s="1233">
        <v>8240.2900000000009</v>
      </c>
      <c r="Q28" s="1233">
        <v>3499.85</v>
      </c>
      <c r="R28" s="1233">
        <f t="shared" si="11"/>
        <v>701.10000000000036</v>
      </c>
      <c r="S28" s="1233">
        <f t="shared" si="12"/>
        <v>354169.72</v>
      </c>
      <c r="T28" s="1244" t="s">
        <v>609</v>
      </c>
    </row>
    <row r="29" spans="1:22" ht="12.75" customHeight="1">
      <c r="A29" s="1237" t="s">
        <v>602</v>
      </c>
      <c r="B29" s="1231">
        <v>661.48</v>
      </c>
      <c r="C29" s="1231">
        <v>3693.25</v>
      </c>
      <c r="D29" s="1231">
        <v>2156.42</v>
      </c>
      <c r="E29" s="1231">
        <v>510.11</v>
      </c>
      <c r="F29" s="1231">
        <f t="shared" si="3"/>
        <v>7021.26</v>
      </c>
      <c r="G29" s="1231">
        <v>42.82</v>
      </c>
      <c r="H29" s="1231">
        <v>227.7</v>
      </c>
      <c r="I29" s="1231">
        <f t="shared" si="6"/>
        <v>270.52</v>
      </c>
      <c r="J29" s="1231">
        <v>50.26</v>
      </c>
      <c r="K29" s="1231">
        <v>1.08</v>
      </c>
      <c r="L29" s="1231">
        <v>5.42</v>
      </c>
      <c r="M29" s="1231">
        <f t="shared" si="7"/>
        <v>56.76</v>
      </c>
      <c r="N29" s="1231">
        <f>8.88+4.92</f>
        <v>13.8</v>
      </c>
      <c r="O29" s="1231">
        <f>N29+M29+I29+F29</f>
        <v>7362.34</v>
      </c>
      <c r="P29" s="1231">
        <v>7798.29</v>
      </c>
      <c r="Q29" s="1231">
        <v>3706.01</v>
      </c>
      <c r="R29" s="1231">
        <f t="shared" si="11"/>
        <v>-435.94999999999982</v>
      </c>
      <c r="S29" s="1231">
        <f t="shared" si="12"/>
        <v>353733.76999999996</v>
      </c>
      <c r="T29" s="1243" t="s">
        <v>602</v>
      </c>
    </row>
    <row r="30" spans="1:22" ht="12.75" customHeight="1">
      <c r="A30" s="1238" t="s">
        <v>610</v>
      </c>
      <c r="B30" s="1233">
        <v>886.47</v>
      </c>
      <c r="C30" s="1233">
        <v>4934.1400000000003</v>
      </c>
      <c r="D30" s="1233">
        <v>2964.46</v>
      </c>
      <c r="E30" s="1233">
        <v>727.04</v>
      </c>
      <c r="F30" s="1233">
        <f t="shared" si="3"/>
        <v>9512.1099999999988</v>
      </c>
      <c r="G30" s="1233">
        <v>48.87</v>
      </c>
      <c r="H30" s="1233">
        <v>312.02999999999997</v>
      </c>
      <c r="I30" s="1233">
        <f t="shared" si="6"/>
        <v>360.9</v>
      </c>
      <c r="J30" s="1233">
        <v>68.48</v>
      </c>
      <c r="K30" s="1233">
        <v>1.08</v>
      </c>
      <c r="L30" s="1233">
        <v>5.0599999999999996</v>
      </c>
      <c r="M30" s="1233">
        <f t="shared" si="7"/>
        <v>74.62</v>
      </c>
      <c r="N30" s="1233">
        <f>11.94+6.45</f>
        <v>18.39</v>
      </c>
      <c r="O30" s="1233">
        <f t="shared" si="10"/>
        <v>9966.0199999999986</v>
      </c>
      <c r="P30" s="1233">
        <v>7389.3</v>
      </c>
      <c r="Q30" s="1233">
        <v>3339.52</v>
      </c>
      <c r="R30" s="1233">
        <f t="shared" si="11"/>
        <v>2576.7199999999984</v>
      </c>
      <c r="S30" s="1233">
        <f t="shared" si="12"/>
        <v>356310.48999999993</v>
      </c>
      <c r="T30" s="1244" t="s">
        <v>610</v>
      </c>
    </row>
    <row r="31" spans="1:22" ht="12.75" customHeight="1">
      <c r="A31" s="1237" t="s">
        <v>611</v>
      </c>
      <c r="B31" s="1231">
        <v>633.98</v>
      </c>
      <c r="C31" s="1231">
        <v>4798.47</v>
      </c>
      <c r="D31" s="1231">
        <v>2884.24</v>
      </c>
      <c r="E31" s="1231">
        <v>715.59</v>
      </c>
      <c r="F31" s="1231">
        <f t="shared" si="3"/>
        <v>9032.2799999999988</v>
      </c>
      <c r="G31" s="1231">
        <v>41.68</v>
      </c>
      <c r="H31" s="1231">
        <v>296.7</v>
      </c>
      <c r="I31" s="1231">
        <f t="shared" si="6"/>
        <v>338.38</v>
      </c>
      <c r="J31" s="1231">
        <v>56.44</v>
      </c>
      <c r="K31" s="1231">
        <v>0.72</v>
      </c>
      <c r="L31" s="1231">
        <v>5.01</v>
      </c>
      <c r="M31" s="1231">
        <f t="shared" si="7"/>
        <v>62.169999999999995</v>
      </c>
      <c r="N31" s="1231">
        <f>10.64+13.96</f>
        <v>24.6</v>
      </c>
      <c r="O31" s="1231">
        <f t="shared" si="10"/>
        <v>9457.4299999999985</v>
      </c>
      <c r="P31" s="1231">
        <v>6934.52</v>
      </c>
      <c r="Q31" s="1231">
        <v>3176.54</v>
      </c>
      <c r="R31" s="1231">
        <f t="shared" si="11"/>
        <v>2522.909999999998</v>
      </c>
      <c r="S31" s="1231">
        <f t="shared" si="12"/>
        <v>358833.39999999991</v>
      </c>
      <c r="T31" s="1243" t="s">
        <v>611</v>
      </c>
    </row>
    <row r="32" spans="1:22" ht="12.75" customHeight="1">
      <c r="A32" s="1238" t="s">
        <v>603</v>
      </c>
      <c r="B32" s="1233">
        <v>746.01</v>
      </c>
      <c r="C32" s="1233">
        <v>5206.43</v>
      </c>
      <c r="D32" s="1233">
        <v>3009.46</v>
      </c>
      <c r="E32" s="1233">
        <v>849.28</v>
      </c>
      <c r="F32" s="1233">
        <f t="shared" si="3"/>
        <v>9811.18</v>
      </c>
      <c r="G32" s="1233">
        <v>46.89</v>
      </c>
      <c r="H32" s="1233">
        <v>313.73</v>
      </c>
      <c r="I32" s="1233">
        <f t="shared" si="6"/>
        <v>360.62</v>
      </c>
      <c r="J32" s="1233">
        <v>78.83</v>
      </c>
      <c r="K32" s="1233">
        <v>1.5</v>
      </c>
      <c r="L32" s="1233">
        <v>3.57</v>
      </c>
      <c r="M32" s="1233">
        <f t="shared" si="7"/>
        <v>83.899999999999991</v>
      </c>
      <c r="N32" s="1233">
        <f>11.69+3.81</f>
        <v>15.5</v>
      </c>
      <c r="O32" s="1233">
        <f t="shared" si="10"/>
        <v>10271.200000000001</v>
      </c>
      <c r="P32" s="1233">
        <v>8456.49</v>
      </c>
      <c r="Q32" s="1233">
        <v>3800.53</v>
      </c>
      <c r="R32" s="1233">
        <f t="shared" si="11"/>
        <v>1814.7100000000009</v>
      </c>
      <c r="S32" s="1233">
        <f t="shared" si="12"/>
        <v>360648.10999999993</v>
      </c>
      <c r="T32" s="1244" t="s">
        <v>603</v>
      </c>
    </row>
    <row r="33" spans="1:20" ht="12.75" customHeight="1">
      <c r="A33" s="1237" t="s">
        <v>612</v>
      </c>
      <c r="B33" s="1231">
        <v>747.85</v>
      </c>
      <c r="C33" s="1231">
        <v>4028.6</v>
      </c>
      <c r="D33" s="1231">
        <v>2322.37</v>
      </c>
      <c r="E33" s="1231">
        <v>688.39</v>
      </c>
      <c r="F33" s="1231">
        <f t="shared" si="3"/>
        <v>7787.21</v>
      </c>
      <c r="G33" s="1231">
        <v>36.299999999999997</v>
      </c>
      <c r="H33" s="1231">
        <v>244.49</v>
      </c>
      <c r="I33" s="1231">
        <f t="shared" si="6"/>
        <v>280.79000000000002</v>
      </c>
      <c r="J33" s="1231">
        <v>61.76</v>
      </c>
      <c r="K33" s="1231">
        <v>0.97</v>
      </c>
      <c r="L33" s="1231">
        <v>13.39</v>
      </c>
      <c r="M33" s="1231">
        <f t="shared" si="7"/>
        <v>76.12</v>
      </c>
      <c r="N33" s="1231">
        <f>11.07+3.48</f>
        <v>14.55</v>
      </c>
      <c r="O33" s="1231">
        <f t="shared" si="10"/>
        <v>8158.67</v>
      </c>
      <c r="P33" s="1231">
        <v>7144.03</v>
      </c>
      <c r="Q33" s="1231">
        <v>3116.34</v>
      </c>
      <c r="R33" s="1231">
        <f t="shared" si="11"/>
        <v>1014.6400000000003</v>
      </c>
      <c r="S33" s="1231">
        <f t="shared" si="12"/>
        <v>361662.74999999994</v>
      </c>
      <c r="T33" s="1243" t="s">
        <v>612</v>
      </c>
    </row>
    <row r="34" spans="1:20" ht="12.75" customHeight="1">
      <c r="A34" s="1238" t="s">
        <v>613</v>
      </c>
      <c r="B34" s="1233">
        <v>887.08</v>
      </c>
      <c r="C34" s="1233">
        <v>3664.3</v>
      </c>
      <c r="D34" s="1233">
        <v>2254.9699999999998</v>
      </c>
      <c r="E34" s="1233">
        <v>659.36</v>
      </c>
      <c r="F34" s="1233">
        <f t="shared" si="3"/>
        <v>7465.71</v>
      </c>
      <c r="G34" s="1233">
        <v>36.24</v>
      </c>
      <c r="H34" s="1233">
        <v>285.29000000000002</v>
      </c>
      <c r="I34" s="1233">
        <f t="shared" si="6"/>
        <v>321.53000000000003</v>
      </c>
      <c r="J34" s="1233">
        <v>54.66</v>
      </c>
      <c r="K34" s="1233">
        <v>2.69</v>
      </c>
      <c r="L34" s="1233">
        <v>7.87</v>
      </c>
      <c r="M34" s="1233">
        <f t="shared" si="7"/>
        <v>65.22</v>
      </c>
      <c r="N34" s="1233">
        <f>0.01+12.5</f>
        <v>12.51</v>
      </c>
      <c r="O34" s="1233">
        <f t="shared" si="10"/>
        <v>7864.97</v>
      </c>
      <c r="P34" s="1233">
        <v>7226.29</v>
      </c>
      <c r="Q34" s="1233">
        <v>3577.04</v>
      </c>
      <c r="R34" s="1233">
        <f>O34-P34</f>
        <v>638.68000000000029</v>
      </c>
      <c r="S34" s="1233">
        <f>S33+R34</f>
        <v>362301.42999999993</v>
      </c>
      <c r="T34" s="1244" t="s">
        <v>613</v>
      </c>
    </row>
    <row r="35" spans="1:20" ht="12.75" customHeight="1">
      <c r="A35" s="1237" t="s">
        <v>604</v>
      </c>
      <c r="B35" s="1231">
        <v>1291.99</v>
      </c>
      <c r="C35" s="1231">
        <v>4810.6499999999996</v>
      </c>
      <c r="D35" s="1231">
        <v>3317.49</v>
      </c>
      <c r="E35" s="1231">
        <v>807.87</v>
      </c>
      <c r="F35" s="1231">
        <f t="shared" si="3"/>
        <v>10227.999999999998</v>
      </c>
      <c r="G35" s="1231">
        <v>43.42</v>
      </c>
      <c r="H35" s="1231">
        <v>318.43</v>
      </c>
      <c r="I35" s="1231">
        <f t="shared" si="6"/>
        <v>361.85</v>
      </c>
      <c r="J35" s="1231">
        <v>56.08</v>
      </c>
      <c r="K35" s="1231">
        <v>5.15</v>
      </c>
      <c r="L35" s="1231">
        <v>43.48</v>
      </c>
      <c r="M35" s="1231">
        <f t="shared" si="7"/>
        <v>104.71</v>
      </c>
      <c r="N35" s="1231">
        <f>12.28+4.97</f>
        <v>17.25</v>
      </c>
      <c r="O35" s="1231">
        <f t="shared" si="10"/>
        <v>10711.809999999998</v>
      </c>
      <c r="P35" s="1231">
        <v>8962.19</v>
      </c>
      <c r="Q35" s="1231">
        <v>3980.39</v>
      </c>
      <c r="R35" s="1231">
        <f t="shared" si="11"/>
        <v>1749.6199999999972</v>
      </c>
      <c r="S35" s="1231">
        <f t="shared" si="12"/>
        <v>364051.04999999993</v>
      </c>
      <c r="T35" s="1243" t="s">
        <v>604</v>
      </c>
    </row>
    <row r="36" spans="1:20" ht="12.75" customHeight="1">
      <c r="A36" s="1236" t="s">
        <v>2553</v>
      </c>
      <c r="B36" s="1233"/>
      <c r="C36" s="1233"/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42" t="s">
        <v>2553</v>
      </c>
    </row>
    <row r="37" spans="1:20" ht="12.75" customHeight="1">
      <c r="A37" s="1237" t="s">
        <v>606</v>
      </c>
      <c r="B37" s="1231">
        <v>737.77</v>
      </c>
      <c r="C37" s="1231">
        <v>3151.28</v>
      </c>
      <c r="D37" s="1231">
        <v>2030.08</v>
      </c>
      <c r="E37" s="1231">
        <v>601.25</v>
      </c>
      <c r="F37" s="1231">
        <f t="shared" si="3"/>
        <v>6520.380000000001</v>
      </c>
      <c r="G37" s="1231">
        <v>53.48</v>
      </c>
      <c r="H37" s="1231">
        <v>336.42</v>
      </c>
      <c r="I37" s="1231">
        <f t="shared" si="6"/>
        <v>389.90000000000003</v>
      </c>
      <c r="J37" s="1231">
        <v>56.56</v>
      </c>
      <c r="K37" s="1231">
        <v>5.3</v>
      </c>
      <c r="L37" s="1231">
        <v>29.84</v>
      </c>
      <c r="M37" s="1231">
        <f t="shared" si="7"/>
        <v>91.7</v>
      </c>
      <c r="N37" s="1231">
        <f>10.79+5.66</f>
        <v>16.45</v>
      </c>
      <c r="O37" s="1231">
        <f>N37+M37+I37+F37</f>
        <v>7018.4300000000012</v>
      </c>
      <c r="P37" s="1231">
        <v>6625.32</v>
      </c>
      <c r="Q37" s="1231">
        <v>3437</v>
      </c>
      <c r="R37" s="1231">
        <f t="shared" si="11"/>
        <v>393.11000000000149</v>
      </c>
      <c r="S37" s="1231">
        <f>S35+R37</f>
        <v>364444.15999999992</v>
      </c>
      <c r="T37" s="1243" t="s">
        <v>606</v>
      </c>
    </row>
    <row r="38" spans="1:20" ht="12.75" customHeight="1">
      <c r="A38" s="1238" t="s">
        <v>607</v>
      </c>
      <c r="B38" s="1233">
        <v>386.7</v>
      </c>
      <c r="C38" s="1233">
        <v>3577.52</v>
      </c>
      <c r="D38" s="1233">
        <v>2227.79</v>
      </c>
      <c r="E38" s="1233">
        <v>751.93</v>
      </c>
      <c r="F38" s="1233">
        <f t="shared" si="3"/>
        <v>6943.94</v>
      </c>
      <c r="G38" s="1233">
        <v>48.07</v>
      </c>
      <c r="H38" s="1233">
        <v>387.23</v>
      </c>
      <c r="I38" s="1233">
        <f t="shared" si="6"/>
        <v>435.3</v>
      </c>
      <c r="J38" s="1233">
        <v>69.47</v>
      </c>
      <c r="K38" s="1233">
        <v>42.16</v>
      </c>
      <c r="L38" s="1233">
        <v>3.91</v>
      </c>
      <c r="M38" s="1233">
        <f t="shared" si="7"/>
        <v>115.53999999999999</v>
      </c>
      <c r="N38" s="1233">
        <f>10.67+14.24</f>
        <v>24.91</v>
      </c>
      <c r="O38" s="1233">
        <f>N38+M38+I38+F38</f>
        <v>7519.69</v>
      </c>
      <c r="P38" s="1233">
        <v>7511.61</v>
      </c>
      <c r="Q38" s="1233">
        <v>3813.79</v>
      </c>
      <c r="R38" s="1233">
        <f>O38-P38</f>
        <v>8.0799999999999272</v>
      </c>
      <c r="S38" s="1233">
        <f>S37+R38</f>
        <v>364452.23999999993</v>
      </c>
      <c r="T38" s="1244" t="s">
        <v>607</v>
      </c>
    </row>
    <row r="39" spans="1:20" ht="12.75" customHeight="1">
      <c r="A39" s="1237" t="s">
        <v>601</v>
      </c>
      <c r="B39" s="1231">
        <v>306.93</v>
      </c>
      <c r="C39" s="1231">
        <v>3347.75</v>
      </c>
      <c r="D39" s="1231">
        <v>2129.31</v>
      </c>
      <c r="E39" s="1231">
        <v>661.57</v>
      </c>
      <c r="F39" s="1231">
        <f>E39+D39+C39+B39</f>
        <v>6445.56</v>
      </c>
      <c r="G39" s="1231">
        <v>48.08</v>
      </c>
      <c r="H39" s="1231">
        <v>370.39</v>
      </c>
      <c r="I39" s="1231">
        <f t="shared" si="6"/>
        <v>418.46999999999997</v>
      </c>
      <c r="J39" s="1231">
        <v>60.23</v>
      </c>
      <c r="K39" s="1231">
        <v>7.66</v>
      </c>
      <c r="L39" s="1231">
        <v>26</v>
      </c>
      <c r="M39" s="1231">
        <f t="shared" si="7"/>
        <v>93.89</v>
      </c>
      <c r="N39" s="1231">
        <f>10.38+4.92</f>
        <v>15.3</v>
      </c>
      <c r="O39" s="1231">
        <f>N39+M39+I39+F39</f>
        <v>6973.22</v>
      </c>
      <c r="P39" s="1231">
        <v>7043.86</v>
      </c>
      <c r="Q39" s="1231">
        <v>4797.8599999999997</v>
      </c>
      <c r="R39" s="1231">
        <f>O39-P39</f>
        <v>-70.639999999999418</v>
      </c>
      <c r="S39" s="1231">
        <f>S38+R39</f>
        <v>364381.59999999992</v>
      </c>
      <c r="T39" s="1243" t="s">
        <v>601</v>
      </c>
    </row>
    <row r="40" spans="1:20" ht="12.75" customHeight="1" thickBot="1">
      <c r="A40" s="1721" t="s">
        <v>608</v>
      </c>
      <c r="B40" s="1722">
        <v>270.82</v>
      </c>
      <c r="C40" s="1722">
        <v>3199.66</v>
      </c>
      <c r="D40" s="1722">
        <v>1972.25</v>
      </c>
      <c r="E40" s="1722">
        <v>600.02</v>
      </c>
      <c r="F40" s="1722">
        <f>E40+D40+C40+B40</f>
        <v>6042.75</v>
      </c>
      <c r="G40" s="1722">
        <v>45.4</v>
      </c>
      <c r="H40" s="1722">
        <v>352.57</v>
      </c>
      <c r="I40" s="1722">
        <f t="shared" si="6"/>
        <v>397.96999999999997</v>
      </c>
      <c r="J40" s="1722">
        <v>49.01</v>
      </c>
      <c r="K40" s="1722">
        <v>5.8</v>
      </c>
      <c r="L40" s="1722">
        <v>22.14</v>
      </c>
      <c r="M40" s="1722">
        <f t="shared" si="7"/>
        <v>76.949999999999989</v>
      </c>
      <c r="N40" s="1722">
        <f>10.19+5.31</f>
        <v>15.5</v>
      </c>
      <c r="O40" s="1722">
        <f>F40+I40+M40+N40</f>
        <v>6533.17</v>
      </c>
      <c r="P40" s="1722">
        <v>7496.33</v>
      </c>
      <c r="Q40" s="1722">
        <v>3844.79</v>
      </c>
      <c r="R40" s="1722">
        <f>O40-P40</f>
        <v>-963.15999999999985</v>
      </c>
      <c r="S40" s="1722">
        <f>S39+R40</f>
        <v>363418.43999999994</v>
      </c>
      <c r="T40" s="1723" t="s">
        <v>608</v>
      </c>
    </row>
    <row r="41" spans="1:20" ht="12.75" customHeight="1">
      <c r="A41" s="771" t="s">
        <v>2253</v>
      </c>
      <c r="B41" s="783"/>
      <c r="C41" s="783"/>
      <c r="D41" s="783"/>
      <c r="E41" s="783"/>
      <c r="F41" s="783"/>
      <c r="G41" s="783"/>
      <c r="H41" s="783"/>
      <c r="I41" s="783"/>
      <c r="J41" s="783"/>
      <c r="K41" s="783"/>
      <c r="L41" s="783"/>
      <c r="M41" s="783"/>
      <c r="N41" s="783"/>
      <c r="O41" s="783"/>
      <c r="P41" s="783"/>
      <c r="Q41" s="783"/>
      <c r="R41" s="783"/>
      <c r="S41" s="783"/>
      <c r="T41" s="210"/>
    </row>
    <row r="42" spans="1:20" ht="15">
      <c r="A42" s="1274" t="s">
        <v>1510</v>
      </c>
      <c r="B42" s="773" t="s">
        <v>2302</v>
      </c>
      <c r="C42" s="769"/>
      <c r="D42" s="769"/>
      <c r="E42" s="769"/>
      <c r="F42" s="769"/>
      <c r="G42" s="769"/>
      <c r="H42" s="778" t="s">
        <v>1469</v>
      </c>
      <c r="I42" s="769"/>
      <c r="J42" s="769"/>
      <c r="K42" s="769"/>
      <c r="L42" s="769"/>
      <c r="M42" s="769"/>
      <c r="N42" s="769"/>
      <c r="O42" s="769"/>
      <c r="P42" s="769"/>
      <c r="Q42" s="1496"/>
      <c r="R42" s="769"/>
      <c r="S42" s="594"/>
      <c r="T42" s="662"/>
    </row>
    <row r="43" spans="1:20" ht="15">
      <c r="A43" s="769"/>
      <c r="B43" s="769"/>
      <c r="C43" s="769"/>
      <c r="D43" s="769"/>
      <c r="E43" s="769"/>
      <c r="F43" s="778"/>
      <c r="G43" s="769"/>
      <c r="H43" s="779"/>
      <c r="I43" s="779"/>
      <c r="J43" s="769"/>
      <c r="K43" s="769"/>
      <c r="L43" s="769"/>
      <c r="M43" s="769"/>
      <c r="N43" s="769"/>
      <c r="O43" s="769"/>
      <c r="P43" s="1513"/>
      <c r="Q43" s="1497"/>
      <c r="R43" s="769"/>
      <c r="S43" s="488"/>
      <c r="T43" s="662"/>
    </row>
    <row r="44" spans="1:20">
      <c r="O44" s="662"/>
    </row>
    <row r="45" spans="1:20">
      <c r="S45" s="66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45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13" workbookViewId="0">
      <selection activeCell="Y22" sqref="Y22"/>
    </sheetView>
  </sheetViews>
  <sheetFormatPr defaultRowHeight="12.75"/>
  <cols>
    <col min="1" max="1" width="7" style="1409" customWidth="1"/>
    <col min="2" max="2" width="7.140625" style="1409" customWidth="1"/>
    <col min="3" max="3" width="6.28515625" style="1409" customWidth="1"/>
    <col min="4" max="4" width="7.140625" style="1409" customWidth="1"/>
    <col min="5" max="5" width="5.42578125" style="1409" customWidth="1"/>
    <col min="6" max="7" width="7.140625" style="1409" customWidth="1"/>
    <col min="8" max="8" width="6.28515625" style="1409" customWidth="1"/>
    <col min="9" max="10" width="7.140625" style="1409" customWidth="1"/>
    <col min="11" max="11" width="5.5703125" style="1409" customWidth="1"/>
    <col min="12" max="13" width="5.42578125" style="1409" customWidth="1"/>
    <col min="14" max="14" width="7.140625" style="1409" customWidth="1"/>
    <col min="15" max="15" width="4.85546875" style="1409" customWidth="1"/>
    <col min="16" max="16" width="6" style="1409" customWidth="1"/>
    <col min="17" max="17" width="4.42578125" style="1409" customWidth="1"/>
    <col min="18" max="18" width="7.140625" style="1409" customWidth="1"/>
    <col min="19" max="19" width="7.7109375" style="1409" customWidth="1"/>
    <col min="20" max="20" width="6.28515625" style="1409" customWidth="1"/>
    <col min="21" max="22" width="7.140625" style="1409" customWidth="1"/>
    <col min="23" max="23" width="7" style="1409" customWidth="1"/>
    <col min="24" max="16384" width="9.140625" style="1409"/>
  </cols>
  <sheetData>
    <row r="1" spans="1:26" ht="18.75">
      <c r="A1" s="1136"/>
      <c r="B1" s="1136"/>
      <c r="C1" s="1136"/>
      <c r="D1" s="1136"/>
      <c r="E1" s="1136"/>
      <c r="F1" s="1136"/>
      <c r="G1" s="1136"/>
      <c r="H1" s="1136"/>
      <c r="I1" s="1593" t="s">
        <v>2518</v>
      </c>
      <c r="J1" s="1593"/>
      <c r="K1" s="1593"/>
      <c r="L1" s="1593" t="s">
        <v>2519</v>
      </c>
      <c r="M1" s="1593"/>
      <c r="N1" s="1593" t="s">
        <v>2520</v>
      </c>
      <c r="O1" s="1593"/>
      <c r="P1" s="1593"/>
      <c r="Q1" s="1554"/>
      <c r="R1" s="1554"/>
      <c r="S1" s="1136"/>
      <c r="T1" s="1136"/>
      <c r="U1" s="1136"/>
      <c r="V1" s="1136"/>
      <c r="W1" s="1136"/>
    </row>
    <row r="2" spans="1:26" ht="18.75">
      <c r="A2" s="766"/>
      <c r="B2" s="767"/>
      <c r="C2" s="767"/>
      <c r="D2" s="774"/>
      <c r="E2" s="774"/>
      <c r="F2" s="774"/>
      <c r="G2" s="774"/>
      <c r="H2" s="774"/>
      <c r="I2" s="1555"/>
      <c r="J2" s="1556" t="s">
        <v>2521</v>
      </c>
      <c r="K2" s="1556"/>
      <c r="L2" s="1556"/>
      <c r="M2" s="1556"/>
      <c r="N2" s="1556"/>
      <c r="O2" s="1555"/>
      <c r="P2" s="1555"/>
      <c r="Q2" s="1555"/>
      <c r="R2" s="1555"/>
      <c r="S2" s="767"/>
      <c r="T2" s="767"/>
      <c r="U2" s="767"/>
      <c r="V2" s="1557" t="s">
        <v>2522</v>
      </c>
      <c r="W2" s="1136"/>
    </row>
    <row r="3" spans="1:26" ht="15">
      <c r="A3" s="1558"/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  <c r="O3" s="1558"/>
      <c r="P3" s="1558"/>
      <c r="Q3" s="1558"/>
      <c r="R3" s="1558"/>
      <c r="S3" s="1558"/>
      <c r="T3" s="1558"/>
      <c r="U3" s="1558"/>
      <c r="V3" s="1559" t="s">
        <v>24</v>
      </c>
      <c r="W3" s="1560"/>
    </row>
    <row r="4" spans="1:26">
      <c r="A4" s="2353" t="s">
        <v>527</v>
      </c>
      <c r="B4" s="2390" t="s">
        <v>2523</v>
      </c>
      <c r="C4" s="2391"/>
      <c r="D4" s="2391"/>
      <c r="E4" s="2391"/>
      <c r="F4" s="2392"/>
      <c r="G4" s="2390" t="s">
        <v>2524</v>
      </c>
      <c r="H4" s="2393"/>
      <c r="I4" s="2393"/>
      <c r="J4" s="2393"/>
      <c r="K4" s="2393"/>
      <c r="L4" s="2393"/>
      <c r="M4" s="2393"/>
      <c r="N4" s="2393"/>
      <c r="O4" s="2393"/>
      <c r="P4" s="2393"/>
      <c r="Q4" s="2393"/>
      <c r="R4" s="2394"/>
      <c r="S4" s="2395" t="s">
        <v>2525</v>
      </c>
      <c r="T4" s="2397" t="s">
        <v>2526</v>
      </c>
      <c r="U4" s="2398"/>
      <c r="V4" s="2399"/>
      <c r="W4" s="2383" t="s">
        <v>527</v>
      </c>
    </row>
    <row r="5" spans="1:26" ht="85.5" customHeight="1">
      <c r="A5" s="2354"/>
      <c r="B5" s="1561" t="s">
        <v>2527</v>
      </c>
      <c r="C5" s="1562" t="s">
        <v>2528</v>
      </c>
      <c r="D5" s="1561" t="s">
        <v>2529</v>
      </c>
      <c r="E5" s="1561" t="s">
        <v>2530</v>
      </c>
      <c r="F5" s="1561" t="s">
        <v>2531</v>
      </c>
      <c r="G5" s="1561" t="s">
        <v>2532</v>
      </c>
      <c r="H5" s="1561" t="s">
        <v>2533</v>
      </c>
      <c r="I5" s="1561" t="s">
        <v>2534</v>
      </c>
      <c r="J5" s="1561" t="s">
        <v>2535</v>
      </c>
      <c r="K5" s="1561" t="s">
        <v>2536</v>
      </c>
      <c r="L5" s="1561" t="s">
        <v>2537</v>
      </c>
      <c r="M5" s="1563" t="s">
        <v>2538</v>
      </c>
      <c r="N5" s="1563" t="s">
        <v>2539</v>
      </c>
      <c r="O5" s="1562" t="s">
        <v>2540</v>
      </c>
      <c r="P5" s="1562" t="s">
        <v>2541</v>
      </c>
      <c r="Q5" s="1562" t="s">
        <v>2542</v>
      </c>
      <c r="R5" s="1562" t="s">
        <v>2543</v>
      </c>
      <c r="S5" s="2396"/>
      <c r="T5" s="1562" t="s">
        <v>2544</v>
      </c>
      <c r="U5" s="1562" t="s">
        <v>2545</v>
      </c>
      <c r="V5" s="1562" t="s">
        <v>2546</v>
      </c>
      <c r="W5" s="2384"/>
    </row>
    <row r="6" spans="1:26">
      <c r="A6" s="2355"/>
      <c r="B6" s="1564">
        <v>1</v>
      </c>
      <c r="C6" s="1565">
        <v>2</v>
      </c>
      <c r="D6" s="1565">
        <v>3</v>
      </c>
      <c r="E6" s="1565">
        <v>4</v>
      </c>
      <c r="F6" s="1565">
        <v>5</v>
      </c>
      <c r="G6" s="1565">
        <v>6</v>
      </c>
      <c r="H6" s="1565">
        <v>7</v>
      </c>
      <c r="I6" s="1565">
        <v>8</v>
      </c>
      <c r="J6" s="1565">
        <v>9</v>
      </c>
      <c r="K6" s="1565">
        <v>10</v>
      </c>
      <c r="L6" s="1565">
        <v>11</v>
      </c>
      <c r="M6" s="1565">
        <v>12</v>
      </c>
      <c r="N6" s="1565">
        <v>13</v>
      </c>
      <c r="O6" s="1565">
        <v>14</v>
      </c>
      <c r="P6" s="1565">
        <v>15</v>
      </c>
      <c r="Q6" s="1565">
        <v>16</v>
      </c>
      <c r="R6" s="1565">
        <v>17</v>
      </c>
      <c r="S6" s="1565">
        <v>18</v>
      </c>
      <c r="T6" s="1565">
        <v>19</v>
      </c>
      <c r="U6" s="1565">
        <v>20</v>
      </c>
      <c r="V6" s="1565">
        <v>21</v>
      </c>
      <c r="W6" s="2385"/>
      <c r="Z6" s="1577"/>
    </row>
    <row r="7" spans="1:26" ht="17.100000000000001" customHeight="1">
      <c r="A7" s="1585" t="s">
        <v>595</v>
      </c>
      <c r="B7" s="1578">
        <v>17096</v>
      </c>
      <c r="C7" s="1578">
        <v>4249</v>
      </c>
      <c r="D7" s="1578">
        <v>21345</v>
      </c>
      <c r="E7" s="1578">
        <v>3609</v>
      </c>
      <c r="F7" s="1578">
        <v>24954</v>
      </c>
      <c r="G7" s="1578">
        <v>17898</v>
      </c>
      <c r="H7" s="1578">
        <v>1109</v>
      </c>
      <c r="I7" s="1578">
        <v>19007</v>
      </c>
      <c r="J7" s="1578">
        <v>16560</v>
      </c>
      <c r="K7" s="1578">
        <v>193</v>
      </c>
      <c r="L7" s="1578">
        <v>0</v>
      </c>
      <c r="M7" s="1578">
        <v>496</v>
      </c>
      <c r="N7" s="1578">
        <v>17249</v>
      </c>
      <c r="O7" s="1578">
        <v>-9</v>
      </c>
      <c r="P7" s="1578">
        <v>-249</v>
      </c>
      <c r="Q7" s="1578">
        <v>0</v>
      </c>
      <c r="R7" s="1578">
        <v>35998</v>
      </c>
      <c r="S7" s="1578">
        <v>-11044</v>
      </c>
      <c r="T7" s="1578">
        <v>3100</v>
      </c>
      <c r="U7" s="1578">
        <v>7944</v>
      </c>
      <c r="V7" s="1578">
        <v>11044</v>
      </c>
      <c r="W7" s="1587" t="s">
        <v>595</v>
      </c>
    </row>
    <row r="8" spans="1:26" ht="17.100000000000001" customHeight="1">
      <c r="A8" s="1586" t="s">
        <v>596</v>
      </c>
      <c r="B8" s="1579">
        <v>19490</v>
      </c>
      <c r="C8" s="1579">
        <v>4683</v>
      </c>
      <c r="D8" s="1579">
        <v>24173</v>
      </c>
      <c r="E8" s="1579">
        <v>2929</v>
      </c>
      <c r="F8" s="1579">
        <v>27102</v>
      </c>
      <c r="G8" s="1579">
        <v>20136</v>
      </c>
      <c r="H8" s="1579">
        <v>1411</v>
      </c>
      <c r="I8" s="1579">
        <v>21547</v>
      </c>
      <c r="J8" s="1579">
        <v>17950</v>
      </c>
      <c r="K8" s="1579">
        <v>133</v>
      </c>
      <c r="L8" s="1579">
        <v>0</v>
      </c>
      <c r="M8" s="1579">
        <v>773</v>
      </c>
      <c r="N8" s="1579">
        <v>18856</v>
      </c>
      <c r="O8" s="1583">
        <v>-122</v>
      </c>
      <c r="P8" s="1579">
        <v>-422</v>
      </c>
      <c r="Q8" s="1579">
        <v>0</v>
      </c>
      <c r="R8" s="1579">
        <v>39859</v>
      </c>
      <c r="S8" s="1579">
        <v>-12757</v>
      </c>
      <c r="T8" s="1579">
        <v>3565</v>
      </c>
      <c r="U8" s="1579">
        <v>9192</v>
      </c>
      <c r="V8" s="1579">
        <v>12757</v>
      </c>
      <c r="W8" s="1588" t="s">
        <v>596</v>
      </c>
    </row>
    <row r="9" spans="1:26" ht="17.100000000000001" customHeight="1">
      <c r="A9" s="1585" t="s">
        <v>597</v>
      </c>
      <c r="B9" s="1578">
        <v>21930</v>
      </c>
      <c r="C9" s="1578">
        <v>5740</v>
      </c>
      <c r="D9" s="1578">
        <v>27670</v>
      </c>
      <c r="E9" s="1578">
        <v>3482</v>
      </c>
      <c r="F9" s="1578">
        <v>31152</v>
      </c>
      <c r="G9" s="1578">
        <v>21037</v>
      </c>
      <c r="H9" s="1578">
        <v>1218</v>
      </c>
      <c r="I9" s="1578">
        <v>22255</v>
      </c>
      <c r="J9" s="1578">
        <v>15847</v>
      </c>
      <c r="K9" s="1578">
        <v>313</v>
      </c>
      <c r="L9" s="1578">
        <v>0</v>
      </c>
      <c r="M9" s="1578">
        <v>733</v>
      </c>
      <c r="N9" s="1578">
        <v>16893</v>
      </c>
      <c r="O9" s="1578">
        <v>-6</v>
      </c>
      <c r="P9" s="1578">
        <v>-385</v>
      </c>
      <c r="Q9" s="1578">
        <v>0</v>
      </c>
      <c r="R9" s="1578">
        <v>38757</v>
      </c>
      <c r="S9" s="1578">
        <v>-7605</v>
      </c>
      <c r="T9" s="1578">
        <v>2759</v>
      </c>
      <c r="U9" s="1578">
        <v>4846</v>
      </c>
      <c r="V9" s="1578">
        <v>7605</v>
      </c>
      <c r="W9" s="1587" t="s">
        <v>597</v>
      </c>
    </row>
    <row r="10" spans="1:26" ht="17.100000000000001" customHeight="1">
      <c r="A10" s="1586" t="s">
        <v>598</v>
      </c>
      <c r="B10" s="1579">
        <v>24950</v>
      </c>
      <c r="C10" s="1579">
        <v>6170</v>
      </c>
      <c r="D10" s="1579">
        <v>31120</v>
      </c>
      <c r="E10" s="1579">
        <v>2447</v>
      </c>
      <c r="F10" s="1579">
        <v>33567</v>
      </c>
      <c r="G10" s="1579">
        <v>24255</v>
      </c>
      <c r="H10" s="1579">
        <v>1351</v>
      </c>
      <c r="I10" s="1579">
        <v>25606</v>
      </c>
      <c r="J10" s="1579">
        <v>17060</v>
      </c>
      <c r="K10" s="1579">
        <v>390</v>
      </c>
      <c r="L10" s="1579">
        <v>0</v>
      </c>
      <c r="M10" s="1579">
        <v>593</v>
      </c>
      <c r="N10" s="1579">
        <v>18043</v>
      </c>
      <c r="O10" s="1579">
        <v>-74</v>
      </c>
      <c r="P10" s="1579">
        <v>-1029</v>
      </c>
      <c r="Q10" s="1579">
        <v>0</v>
      </c>
      <c r="R10" s="1579">
        <v>42546</v>
      </c>
      <c r="S10" s="1579">
        <v>-8979</v>
      </c>
      <c r="T10" s="1579">
        <v>4543</v>
      </c>
      <c r="U10" s="1579">
        <v>4436</v>
      </c>
      <c r="V10" s="1579">
        <v>8979</v>
      </c>
      <c r="W10" s="1588" t="s">
        <v>598</v>
      </c>
    </row>
    <row r="11" spans="1:26" ht="17.100000000000001" customHeight="1">
      <c r="A11" s="1585" t="s">
        <v>599</v>
      </c>
      <c r="B11" s="1578">
        <v>28300</v>
      </c>
      <c r="C11" s="1578">
        <v>7100</v>
      </c>
      <c r="D11" s="1578">
        <v>35400</v>
      </c>
      <c r="E11" s="1578">
        <v>2663</v>
      </c>
      <c r="F11" s="1578">
        <v>38063</v>
      </c>
      <c r="G11" s="1578">
        <v>26807</v>
      </c>
      <c r="H11" s="1578">
        <v>1766</v>
      </c>
      <c r="I11" s="1578">
        <v>28573</v>
      </c>
      <c r="J11" s="1578">
        <v>19000</v>
      </c>
      <c r="K11" s="1578">
        <v>419</v>
      </c>
      <c r="L11" s="1578">
        <v>210</v>
      </c>
      <c r="M11" s="1578">
        <v>585</v>
      </c>
      <c r="N11" s="1578">
        <v>20214</v>
      </c>
      <c r="O11" s="1578">
        <v>508</v>
      </c>
      <c r="P11" s="1578">
        <v>-928</v>
      </c>
      <c r="Q11" s="1584">
        <v>1000</v>
      </c>
      <c r="R11" s="1578">
        <v>49367</v>
      </c>
      <c r="S11" s="1578">
        <v>-11304</v>
      </c>
      <c r="T11" s="1578">
        <v>5329</v>
      </c>
      <c r="U11" s="1578">
        <v>5975</v>
      </c>
      <c r="V11" s="1578">
        <v>11304</v>
      </c>
      <c r="W11" s="1587" t="s">
        <v>599</v>
      </c>
    </row>
    <row r="12" spans="1:26" ht="17.100000000000001" customHeight="1">
      <c r="A12" s="1586" t="s">
        <v>600</v>
      </c>
      <c r="B12" s="1579">
        <v>31950</v>
      </c>
      <c r="C12" s="1579">
        <v>7250</v>
      </c>
      <c r="D12" s="1579">
        <v>39200</v>
      </c>
      <c r="E12" s="1579">
        <v>2644</v>
      </c>
      <c r="F12" s="1579">
        <v>41844</v>
      </c>
      <c r="G12" s="1579">
        <v>31590</v>
      </c>
      <c r="H12" s="1579">
        <v>2080</v>
      </c>
      <c r="I12" s="1579">
        <v>33670</v>
      </c>
      <c r="J12" s="1579">
        <v>20500</v>
      </c>
      <c r="K12" s="1579">
        <v>595</v>
      </c>
      <c r="L12" s="1579">
        <v>994</v>
      </c>
      <c r="M12" s="1579">
        <v>587</v>
      </c>
      <c r="N12" s="1579">
        <v>22676</v>
      </c>
      <c r="O12" s="1579">
        <v>168</v>
      </c>
      <c r="P12" s="1579">
        <v>-1152</v>
      </c>
      <c r="Q12" s="1583">
        <v>270</v>
      </c>
      <c r="R12" s="1579">
        <v>55632</v>
      </c>
      <c r="S12" s="1579">
        <v>-13788</v>
      </c>
      <c r="T12" s="1579">
        <v>6187</v>
      </c>
      <c r="U12" s="1579">
        <v>7601</v>
      </c>
      <c r="V12" s="1579">
        <v>13788</v>
      </c>
      <c r="W12" s="1588" t="s">
        <v>600</v>
      </c>
    </row>
    <row r="13" spans="1:26" ht="17.100000000000001" customHeight="1">
      <c r="A13" s="1585" t="s">
        <v>605</v>
      </c>
      <c r="B13" s="1578">
        <v>36175</v>
      </c>
      <c r="C13" s="1578">
        <v>8693</v>
      </c>
      <c r="D13" s="1578">
        <v>44868</v>
      </c>
      <c r="E13" s="1578">
        <v>2476</v>
      </c>
      <c r="F13" s="1578">
        <v>47344</v>
      </c>
      <c r="G13" s="1578">
        <v>34805</v>
      </c>
      <c r="H13" s="1578">
        <v>2252</v>
      </c>
      <c r="I13" s="1578">
        <v>37057</v>
      </c>
      <c r="J13" s="1578">
        <v>21500</v>
      </c>
      <c r="K13" s="1578">
        <v>0</v>
      </c>
      <c r="L13" s="1578">
        <v>1363</v>
      </c>
      <c r="M13" s="1578">
        <v>763</v>
      </c>
      <c r="N13" s="1578">
        <v>23626</v>
      </c>
      <c r="O13" s="1578">
        <v>207</v>
      </c>
      <c r="P13" s="1578">
        <v>-32</v>
      </c>
      <c r="Q13" s="1584">
        <v>200</v>
      </c>
      <c r="R13" s="1578">
        <v>61058</v>
      </c>
      <c r="S13" s="1578">
        <v>-13714</v>
      </c>
      <c r="T13" s="1578">
        <v>5574</v>
      </c>
      <c r="U13" s="1578">
        <v>8140</v>
      </c>
      <c r="V13" s="1578">
        <v>13714</v>
      </c>
      <c r="W13" s="1587" t="s">
        <v>605</v>
      </c>
    </row>
    <row r="14" spans="1:26" ht="17.100000000000001" customHeight="1">
      <c r="A14" s="1586" t="s">
        <v>614</v>
      </c>
      <c r="B14" s="1579">
        <v>39247</v>
      </c>
      <c r="C14" s="1579">
        <v>10225</v>
      </c>
      <c r="D14" s="1579">
        <v>49472</v>
      </c>
      <c r="E14" s="1579">
        <v>2150</v>
      </c>
      <c r="F14" s="1579">
        <v>51622</v>
      </c>
      <c r="G14" s="1579">
        <v>42064</v>
      </c>
      <c r="H14" s="1579">
        <v>2348</v>
      </c>
      <c r="I14" s="1579">
        <v>44412</v>
      </c>
      <c r="J14" s="1579">
        <v>21600</v>
      </c>
      <c r="K14" s="1579">
        <v>0</v>
      </c>
      <c r="L14" s="1579">
        <v>1579</v>
      </c>
      <c r="M14" s="1579">
        <v>283</v>
      </c>
      <c r="N14" s="1579">
        <v>23462</v>
      </c>
      <c r="O14" s="1579">
        <v>388</v>
      </c>
      <c r="P14" s="1579">
        <v>-1455</v>
      </c>
      <c r="Q14" s="1579">
        <v>29</v>
      </c>
      <c r="R14" s="1579">
        <v>66836</v>
      </c>
      <c r="S14" s="1579">
        <v>-15214</v>
      </c>
      <c r="T14" s="1579">
        <v>5183</v>
      </c>
      <c r="U14" s="1579">
        <v>10031</v>
      </c>
      <c r="V14" s="1579">
        <v>15214</v>
      </c>
      <c r="W14" s="1588" t="s">
        <v>614</v>
      </c>
    </row>
    <row r="15" spans="1:26" ht="17.100000000000001" customHeight="1">
      <c r="A15" s="1585" t="s">
        <v>362</v>
      </c>
      <c r="B15" s="1578">
        <v>48012</v>
      </c>
      <c r="C15" s="1578">
        <v>12527</v>
      </c>
      <c r="D15" s="1578">
        <v>60539</v>
      </c>
      <c r="E15" s="1578">
        <v>4388</v>
      </c>
      <c r="F15" s="1578">
        <v>64927</v>
      </c>
      <c r="G15" s="1578">
        <v>52255</v>
      </c>
      <c r="H15" s="1578">
        <v>4734</v>
      </c>
      <c r="I15" s="1578">
        <v>56989</v>
      </c>
      <c r="J15" s="1578">
        <v>22500</v>
      </c>
      <c r="K15" s="1578">
        <v>549</v>
      </c>
      <c r="L15" s="1578">
        <v>496</v>
      </c>
      <c r="M15" s="1578">
        <v>804</v>
      </c>
      <c r="N15" s="1578">
        <v>24349</v>
      </c>
      <c r="O15" s="1578">
        <v>809</v>
      </c>
      <c r="P15" s="1578">
        <v>9761</v>
      </c>
      <c r="Q15" s="1584">
        <v>1700</v>
      </c>
      <c r="R15" s="1578">
        <v>93608</v>
      </c>
      <c r="S15" s="1578">
        <v>-28681</v>
      </c>
      <c r="T15" s="1578">
        <v>8756</v>
      </c>
      <c r="U15" s="1578">
        <v>19925</v>
      </c>
      <c r="V15" s="1578">
        <v>28681</v>
      </c>
      <c r="W15" s="1587" t="s">
        <v>362</v>
      </c>
    </row>
    <row r="16" spans="1:26" ht="17.100000000000001" customHeight="1">
      <c r="A16" s="1566" t="s">
        <v>85</v>
      </c>
      <c r="B16" s="1579">
        <v>55526</v>
      </c>
      <c r="C16" s="1579">
        <v>13654</v>
      </c>
      <c r="D16" s="1579">
        <v>69180</v>
      </c>
      <c r="E16" s="1579">
        <v>4929</v>
      </c>
      <c r="F16" s="1579">
        <v>74109</v>
      </c>
      <c r="G16" s="1579">
        <v>62676</v>
      </c>
      <c r="H16" s="1579">
        <v>4449</v>
      </c>
      <c r="I16" s="1579">
        <v>67125</v>
      </c>
      <c r="J16" s="1579">
        <v>23000</v>
      </c>
      <c r="K16" s="1579">
        <v>990</v>
      </c>
      <c r="L16" s="1579">
        <v>478</v>
      </c>
      <c r="M16" s="1579">
        <v>1234</v>
      </c>
      <c r="N16" s="1579">
        <v>25702</v>
      </c>
      <c r="O16" s="1579">
        <v>4</v>
      </c>
      <c r="P16" s="1579">
        <v>559</v>
      </c>
      <c r="Q16" s="1583">
        <v>750</v>
      </c>
      <c r="R16" s="1579">
        <v>94140</v>
      </c>
      <c r="S16" s="1579">
        <v>-20031</v>
      </c>
      <c r="T16" s="1579">
        <v>5833</v>
      </c>
      <c r="U16" s="1579">
        <v>14198</v>
      </c>
      <c r="V16" s="1579">
        <v>20031</v>
      </c>
      <c r="W16" s="1589" t="s">
        <v>85</v>
      </c>
    </row>
    <row r="17" spans="1:23" ht="17.100000000000001" customHeight="1">
      <c r="A17" s="1567" t="s">
        <v>81</v>
      </c>
      <c r="B17" s="1578">
        <v>63956</v>
      </c>
      <c r="C17" s="1578">
        <v>15528</v>
      </c>
      <c r="D17" s="1578">
        <v>79484</v>
      </c>
      <c r="E17" s="1578">
        <v>3742</v>
      </c>
      <c r="F17" s="1578">
        <v>83226</v>
      </c>
      <c r="G17" s="1578">
        <v>68711</v>
      </c>
      <c r="H17" s="1578">
        <v>8417</v>
      </c>
      <c r="I17" s="1578">
        <v>77128</v>
      </c>
      <c r="J17" s="1578">
        <v>28500</v>
      </c>
      <c r="K17" s="1578">
        <v>1180</v>
      </c>
      <c r="L17" s="1578">
        <v>1009</v>
      </c>
      <c r="M17" s="1578">
        <v>1126</v>
      </c>
      <c r="N17" s="1578">
        <v>31815</v>
      </c>
      <c r="O17" s="1578">
        <v>60</v>
      </c>
      <c r="P17" s="1578">
        <v>1188</v>
      </c>
      <c r="Q17" s="1584">
        <v>332</v>
      </c>
      <c r="R17" s="1578">
        <v>110523</v>
      </c>
      <c r="S17" s="1578">
        <v>-27297</v>
      </c>
      <c r="T17" s="1578">
        <v>9972</v>
      </c>
      <c r="U17" s="1578">
        <v>17325</v>
      </c>
      <c r="V17" s="1578">
        <v>27297</v>
      </c>
      <c r="W17" s="1590" t="s">
        <v>81</v>
      </c>
    </row>
    <row r="18" spans="1:23" ht="17.100000000000001" customHeight="1">
      <c r="A18" s="1575" t="s">
        <v>199</v>
      </c>
      <c r="B18" s="1579">
        <v>79052</v>
      </c>
      <c r="C18" s="1579">
        <v>16135</v>
      </c>
      <c r="D18" s="1579">
        <v>95187</v>
      </c>
      <c r="E18" s="1579">
        <v>4224</v>
      </c>
      <c r="F18" s="1579">
        <v>99411</v>
      </c>
      <c r="G18" s="1579">
        <v>77103</v>
      </c>
      <c r="H18" s="1579">
        <v>6074</v>
      </c>
      <c r="I18" s="1579">
        <v>83177</v>
      </c>
      <c r="J18" s="1579">
        <v>35880</v>
      </c>
      <c r="K18" s="1579">
        <v>1430</v>
      </c>
      <c r="L18" s="1579">
        <v>1011</v>
      </c>
      <c r="M18" s="1579">
        <v>1294</v>
      </c>
      <c r="N18" s="1579">
        <v>39615</v>
      </c>
      <c r="O18" s="1579">
        <v>351</v>
      </c>
      <c r="P18" s="1579">
        <v>6718</v>
      </c>
      <c r="Q18" s="1582">
        <v>150</v>
      </c>
      <c r="R18" s="1579">
        <v>130011</v>
      </c>
      <c r="S18" s="1579">
        <v>-30600</v>
      </c>
      <c r="T18" s="1579">
        <v>5783</v>
      </c>
      <c r="U18" s="1579">
        <v>24817</v>
      </c>
      <c r="V18" s="1579">
        <v>30600</v>
      </c>
      <c r="W18" s="1591" t="s">
        <v>199</v>
      </c>
    </row>
    <row r="19" spans="1:23" ht="17.100000000000001" customHeight="1">
      <c r="A19" s="1576" t="s">
        <v>792</v>
      </c>
      <c r="B19" s="1578">
        <v>96285</v>
      </c>
      <c r="C19" s="1578">
        <v>18600</v>
      </c>
      <c r="D19" s="1578">
        <v>114885</v>
      </c>
      <c r="E19" s="1578">
        <v>4460</v>
      </c>
      <c r="F19" s="1578">
        <v>119345</v>
      </c>
      <c r="G19" s="1578">
        <v>91823</v>
      </c>
      <c r="H19" s="1578">
        <v>9162</v>
      </c>
      <c r="I19" s="1578">
        <v>100985</v>
      </c>
      <c r="J19" s="1578">
        <v>41080</v>
      </c>
      <c r="K19" s="1578">
        <v>2142</v>
      </c>
      <c r="L19" s="1578">
        <v>1144</v>
      </c>
      <c r="M19" s="1578">
        <v>1285</v>
      </c>
      <c r="N19" s="1578">
        <v>45651</v>
      </c>
      <c r="O19" s="1578">
        <v>384</v>
      </c>
      <c r="P19" s="1581">
        <v>14193</v>
      </c>
      <c r="Q19" s="1578">
        <v>0</v>
      </c>
      <c r="R19" s="1578">
        <v>161213</v>
      </c>
      <c r="S19" s="1578">
        <v>-41868</v>
      </c>
      <c r="T19" s="1578">
        <v>7399</v>
      </c>
      <c r="U19" s="1578">
        <v>34469</v>
      </c>
      <c r="V19" s="1578">
        <v>41868</v>
      </c>
      <c r="W19" s="1592" t="s">
        <v>792</v>
      </c>
    </row>
    <row r="20" spans="1:23" ht="17.100000000000001" customHeight="1">
      <c r="A20" s="1575" t="s">
        <v>908</v>
      </c>
      <c r="B20" s="1579">
        <v>116824</v>
      </c>
      <c r="C20" s="1579">
        <v>22846</v>
      </c>
      <c r="D20" s="1579">
        <v>139670</v>
      </c>
      <c r="E20" s="1579">
        <v>5280</v>
      </c>
      <c r="F20" s="1579">
        <v>144950</v>
      </c>
      <c r="G20" s="1579">
        <v>102892</v>
      </c>
      <c r="H20" s="1579">
        <v>7735</v>
      </c>
      <c r="I20" s="1579">
        <v>110627</v>
      </c>
      <c r="J20" s="1579">
        <v>52366</v>
      </c>
      <c r="K20" s="1579">
        <v>3091</v>
      </c>
      <c r="L20" s="1579">
        <v>801</v>
      </c>
      <c r="M20" s="1579">
        <v>1493</v>
      </c>
      <c r="N20" s="1579">
        <v>57751</v>
      </c>
      <c r="O20" s="1579">
        <v>183</v>
      </c>
      <c r="P20" s="1583">
        <v>20765</v>
      </c>
      <c r="Q20" s="1579">
        <v>0</v>
      </c>
      <c r="R20" s="1579">
        <v>189326</v>
      </c>
      <c r="S20" s="1579">
        <v>-44376</v>
      </c>
      <c r="T20" s="1579">
        <v>11903</v>
      </c>
      <c r="U20" s="1579">
        <v>32473</v>
      </c>
      <c r="V20" s="1579">
        <v>44376</v>
      </c>
      <c r="W20" s="1591" t="s">
        <v>908</v>
      </c>
    </row>
    <row r="21" spans="1:23" ht="17.100000000000001" customHeight="1">
      <c r="A21" s="1576" t="s">
        <v>1108</v>
      </c>
      <c r="B21" s="1578">
        <v>130178</v>
      </c>
      <c r="C21" s="1578">
        <v>26493</v>
      </c>
      <c r="D21" s="1578">
        <v>156671</v>
      </c>
      <c r="E21" s="1578">
        <v>5956</v>
      </c>
      <c r="F21" s="1578">
        <v>162627</v>
      </c>
      <c r="G21" s="1578">
        <v>115998</v>
      </c>
      <c r="H21" s="1578">
        <v>18909</v>
      </c>
      <c r="I21" s="1578">
        <v>134907</v>
      </c>
      <c r="J21" s="1578">
        <v>60000</v>
      </c>
      <c r="K21" s="1578">
        <v>3058</v>
      </c>
      <c r="L21" s="1578">
        <v>893</v>
      </c>
      <c r="M21" s="1578">
        <v>1194</v>
      </c>
      <c r="N21" s="1578">
        <v>65145</v>
      </c>
      <c r="O21" s="1578">
        <v>188</v>
      </c>
      <c r="P21" s="1581">
        <v>15982</v>
      </c>
      <c r="Q21" s="1578">
        <v>0</v>
      </c>
      <c r="R21" s="1578">
        <v>216222</v>
      </c>
      <c r="S21" s="1578">
        <v>-53595</v>
      </c>
      <c r="T21" s="1578">
        <v>12613</v>
      </c>
      <c r="U21" s="1578">
        <v>40982</v>
      </c>
      <c r="V21" s="1578">
        <v>53595</v>
      </c>
      <c r="W21" s="1592" t="s">
        <v>1108</v>
      </c>
    </row>
    <row r="22" spans="1:23" ht="17.100000000000001" customHeight="1">
      <c r="A22" s="1575" t="s">
        <v>1167</v>
      </c>
      <c r="B22" s="1579">
        <v>140676</v>
      </c>
      <c r="C22" s="1579">
        <v>22695</v>
      </c>
      <c r="D22" s="1579">
        <v>163371</v>
      </c>
      <c r="E22" s="1579">
        <v>5674</v>
      </c>
      <c r="F22" s="1579">
        <v>169045</v>
      </c>
      <c r="G22" s="1579">
        <v>127371</v>
      </c>
      <c r="H22" s="1579">
        <v>22028</v>
      </c>
      <c r="I22" s="1579">
        <v>149399</v>
      </c>
      <c r="J22" s="1579">
        <v>75000</v>
      </c>
      <c r="K22" s="1579">
        <v>3317</v>
      </c>
      <c r="L22" s="1579">
        <v>786</v>
      </c>
      <c r="M22" s="1579">
        <v>1373</v>
      </c>
      <c r="N22" s="1579">
        <v>80476</v>
      </c>
      <c r="O22" s="1579">
        <v>157</v>
      </c>
      <c r="P22" s="1579">
        <v>9636</v>
      </c>
      <c r="Q22" s="1579">
        <v>0</v>
      </c>
      <c r="R22" s="1579">
        <v>239668</v>
      </c>
      <c r="S22" s="1579">
        <v>-70623</v>
      </c>
      <c r="T22" s="1579">
        <v>15909</v>
      </c>
      <c r="U22" s="1579">
        <v>54714</v>
      </c>
      <c r="V22" s="1579">
        <v>70623</v>
      </c>
      <c r="W22" s="1591" t="s">
        <v>1167</v>
      </c>
    </row>
    <row r="23" spans="1:23" ht="17.100000000000001" customHeight="1">
      <c r="A23" s="1576" t="s">
        <v>1299</v>
      </c>
      <c r="B23" s="1578">
        <v>155400</v>
      </c>
      <c r="C23" s="1578">
        <v>22000</v>
      </c>
      <c r="D23" s="1578">
        <v>177400</v>
      </c>
      <c r="E23" s="1578">
        <v>5027</v>
      </c>
      <c r="F23" s="1578">
        <v>182427</v>
      </c>
      <c r="G23" s="1578">
        <v>150379</v>
      </c>
      <c r="H23" s="1578">
        <v>13372</v>
      </c>
      <c r="I23" s="1578">
        <v>163751</v>
      </c>
      <c r="J23" s="1578">
        <v>91000</v>
      </c>
      <c r="K23" s="1578">
        <v>2687</v>
      </c>
      <c r="L23" s="1578">
        <v>585</v>
      </c>
      <c r="M23" s="1578">
        <v>1636</v>
      </c>
      <c r="N23" s="1578">
        <v>95908</v>
      </c>
      <c r="O23" s="1578">
        <v>201</v>
      </c>
      <c r="P23" s="1578">
        <v>4705</v>
      </c>
      <c r="Q23" s="1578">
        <v>0</v>
      </c>
      <c r="R23" s="1578">
        <v>264565</v>
      </c>
      <c r="S23" s="1578">
        <v>-82138</v>
      </c>
      <c r="T23" s="1578">
        <v>19963</v>
      </c>
      <c r="U23" s="1578">
        <v>62175</v>
      </c>
      <c r="V23" s="1578">
        <v>82138</v>
      </c>
      <c r="W23" s="1592" t="s">
        <v>1299</v>
      </c>
    </row>
    <row r="24" spans="1:23" ht="17.100000000000001" customHeight="1">
      <c r="A24" s="1575" t="s">
        <v>1332</v>
      </c>
      <c r="B24" s="1579">
        <v>192261</v>
      </c>
      <c r="C24" s="1579">
        <v>26239</v>
      </c>
      <c r="D24" s="1579">
        <v>218500</v>
      </c>
      <c r="E24" s="1579">
        <v>4694</v>
      </c>
      <c r="F24" s="1579">
        <v>223194</v>
      </c>
      <c r="G24" s="1579">
        <v>178154</v>
      </c>
      <c r="H24" s="1579">
        <v>14778</v>
      </c>
      <c r="I24" s="1579">
        <v>192932</v>
      </c>
      <c r="J24" s="1579">
        <v>110700</v>
      </c>
      <c r="K24" s="1579">
        <v>2987</v>
      </c>
      <c r="L24" s="1579">
        <v>370</v>
      </c>
      <c r="M24" s="1579">
        <v>1933</v>
      </c>
      <c r="N24" s="1579">
        <v>115990</v>
      </c>
      <c r="O24" s="1579">
        <v>561</v>
      </c>
      <c r="P24" s="1579">
        <v>7691</v>
      </c>
      <c r="Q24" s="1579">
        <v>0</v>
      </c>
      <c r="R24" s="1579">
        <v>317174</v>
      </c>
      <c r="S24" s="1579">
        <v>-93980</v>
      </c>
      <c r="T24" s="1579">
        <v>24077</v>
      </c>
      <c r="U24" s="1579">
        <v>69903</v>
      </c>
      <c r="V24" s="1579">
        <v>93980</v>
      </c>
      <c r="W24" s="1591" t="s">
        <v>1332</v>
      </c>
    </row>
    <row r="25" spans="1:23" ht="17.100000000000001" customHeight="1">
      <c r="A25" s="1576" t="s">
        <v>1471</v>
      </c>
      <c r="B25" s="1578">
        <v>232202</v>
      </c>
      <c r="C25" s="1578">
        <v>27252</v>
      </c>
      <c r="D25" s="1578">
        <v>259454</v>
      </c>
      <c r="E25" s="1578">
        <v>4457</v>
      </c>
      <c r="F25" s="1578">
        <v>263911</v>
      </c>
      <c r="G25" s="1578">
        <v>193828</v>
      </c>
      <c r="H25" s="1578">
        <v>16750</v>
      </c>
      <c r="I25" s="1578">
        <v>210578</v>
      </c>
      <c r="J25" s="1578">
        <v>148381</v>
      </c>
      <c r="K25" s="1578">
        <v>3140</v>
      </c>
      <c r="L25" s="1578">
        <v>261</v>
      </c>
      <c r="M25" s="1578">
        <v>1906</v>
      </c>
      <c r="N25" s="1578">
        <v>153688</v>
      </c>
      <c r="O25" s="1584">
        <v>3894</v>
      </c>
      <c r="P25" s="1578">
        <v>3335</v>
      </c>
      <c r="Q25" s="1578">
        <v>0</v>
      </c>
      <c r="R25" s="1578">
        <v>371495</v>
      </c>
      <c r="S25" s="1578">
        <v>-107584</v>
      </c>
      <c r="T25" s="1578">
        <v>41567</v>
      </c>
      <c r="U25" s="1578">
        <v>66017</v>
      </c>
      <c r="V25" s="1578">
        <v>107584</v>
      </c>
      <c r="W25" s="1592" t="s">
        <v>1471</v>
      </c>
    </row>
    <row r="26" spans="1:23" ht="17.100000000000001" customHeight="1">
      <c r="A26" s="1575" t="s">
        <v>1600</v>
      </c>
      <c r="B26" s="1579">
        <v>289600</v>
      </c>
      <c r="C26" s="1579">
        <v>27012</v>
      </c>
      <c r="D26" s="1579">
        <v>316612</v>
      </c>
      <c r="E26" s="1579">
        <v>3787</v>
      </c>
      <c r="F26" s="1579">
        <v>320399</v>
      </c>
      <c r="G26" s="1579">
        <v>247747</v>
      </c>
      <c r="H26" s="1579">
        <v>18981</v>
      </c>
      <c r="I26" s="1579">
        <v>266728</v>
      </c>
      <c r="J26" s="1579">
        <v>167000</v>
      </c>
      <c r="K26" s="1579">
        <v>4143</v>
      </c>
      <c r="L26" s="1579">
        <v>299</v>
      </c>
      <c r="M26" s="1579">
        <v>2007</v>
      </c>
      <c r="N26" s="1579">
        <v>173449</v>
      </c>
      <c r="O26" s="1579">
        <v>282</v>
      </c>
      <c r="P26" s="1579">
        <v>2082</v>
      </c>
      <c r="Q26" s="1579">
        <v>0</v>
      </c>
      <c r="R26" s="1579">
        <v>442541</v>
      </c>
      <c r="S26" s="1579">
        <v>-122142</v>
      </c>
      <c r="T26" s="1579">
        <v>43397</v>
      </c>
      <c r="U26" s="1579">
        <v>78745</v>
      </c>
      <c r="V26" s="1579">
        <v>122142</v>
      </c>
      <c r="W26" s="1591" t="s">
        <v>1600</v>
      </c>
    </row>
    <row r="27" spans="1:23" ht="17.100000000000001" customHeight="1">
      <c r="A27" s="1576" t="s">
        <v>1695</v>
      </c>
      <c r="B27" s="1578">
        <v>313068</v>
      </c>
      <c r="C27" s="1578">
        <v>35001</v>
      </c>
      <c r="D27" s="1578">
        <v>348069</v>
      </c>
      <c r="E27" s="1578">
        <v>3454</v>
      </c>
      <c r="F27" s="1578">
        <v>351523</v>
      </c>
      <c r="G27" s="1578">
        <v>274907</v>
      </c>
      <c r="H27" s="1578">
        <v>20373</v>
      </c>
      <c r="I27" s="1578">
        <v>295280</v>
      </c>
      <c r="J27" s="1578">
        <v>192921</v>
      </c>
      <c r="K27" s="1578">
        <v>4846</v>
      </c>
      <c r="L27" s="1578">
        <v>1833</v>
      </c>
      <c r="M27" s="1578">
        <v>2749</v>
      </c>
      <c r="N27" s="1578">
        <v>202349</v>
      </c>
      <c r="O27" s="1578">
        <v>654</v>
      </c>
      <c r="P27" s="1578">
        <v>3294</v>
      </c>
      <c r="Q27" s="1578">
        <v>0</v>
      </c>
      <c r="R27" s="1578">
        <v>501577</v>
      </c>
      <c r="S27" s="1578">
        <v>-150054</v>
      </c>
      <c r="T27" s="1578">
        <v>52709</v>
      </c>
      <c r="U27" s="1578">
        <v>97345</v>
      </c>
      <c r="V27" s="1578">
        <v>150054</v>
      </c>
      <c r="W27" s="1592" t="s">
        <v>1695</v>
      </c>
    </row>
    <row r="28" spans="1:23" ht="17.100000000000001" customHeight="1">
      <c r="A28" s="1575" t="s">
        <v>1764</v>
      </c>
      <c r="B28" s="1579">
        <v>316000</v>
      </c>
      <c r="C28" s="1579">
        <v>35532</v>
      </c>
      <c r="D28" s="1579">
        <v>351532</v>
      </c>
      <c r="E28" s="1579">
        <v>3985</v>
      </c>
      <c r="F28" s="1579">
        <v>355517</v>
      </c>
      <c r="G28" s="1579">
        <v>302547</v>
      </c>
      <c r="H28" s="1579">
        <v>21141</v>
      </c>
      <c r="I28" s="1579">
        <v>323688</v>
      </c>
      <c r="J28" s="1579">
        <v>197643</v>
      </c>
      <c r="K28" s="1579">
        <v>4610</v>
      </c>
      <c r="L28" s="1579">
        <v>3239</v>
      </c>
      <c r="M28" s="1579">
        <v>2532</v>
      </c>
      <c r="N28" s="1579">
        <v>208024</v>
      </c>
      <c r="O28" s="1583">
        <v>2553</v>
      </c>
      <c r="P28" s="1579">
        <v>4718</v>
      </c>
      <c r="Q28" s="1579">
        <v>0</v>
      </c>
      <c r="R28" s="1579">
        <v>538983</v>
      </c>
      <c r="S28" s="1579">
        <v>-183466</v>
      </c>
      <c r="T28" s="1579">
        <v>68414</v>
      </c>
      <c r="U28" s="1579">
        <v>115052</v>
      </c>
      <c r="V28" s="1579">
        <v>183466</v>
      </c>
      <c r="W28" s="1591" t="s">
        <v>1764</v>
      </c>
    </row>
    <row r="29" spans="1:23" ht="17.100000000000001" customHeight="1">
      <c r="A29" s="1576" t="s">
        <v>2166</v>
      </c>
      <c r="B29" s="1578">
        <v>346000</v>
      </c>
      <c r="C29" s="1578">
        <v>43000</v>
      </c>
      <c r="D29" s="1578">
        <v>389000</v>
      </c>
      <c r="E29" s="1578">
        <v>3192</v>
      </c>
      <c r="F29" s="1578">
        <v>392192</v>
      </c>
      <c r="G29" s="1578">
        <v>340572</v>
      </c>
      <c r="H29" s="1578">
        <v>26055</v>
      </c>
      <c r="I29" s="1578">
        <v>366627</v>
      </c>
      <c r="J29" s="1578">
        <v>209977</v>
      </c>
      <c r="K29" s="1578">
        <v>6336</v>
      </c>
      <c r="L29" s="1578">
        <v>3040</v>
      </c>
      <c r="M29" s="1578">
        <v>2595</v>
      </c>
      <c r="N29" s="1578">
        <v>221948</v>
      </c>
      <c r="O29" s="1578">
        <v>136</v>
      </c>
      <c r="P29" s="1578">
        <v>4789</v>
      </c>
      <c r="Q29" s="1578">
        <v>0</v>
      </c>
      <c r="R29" s="1578">
        <v>593500</v>
      </c>
      <c r="S29" s="1578">
        <v>-201308</v>
      </c>
      <c r="T29" s="1578">
        <v>77020</v>
      </c>
      <c r="U29" s="1578">
        <v>124288</v>
      </c>
      <c r="V29" s="1578">
        <v>201308</v>
      </c>
      <c r="W29" s="1592" t="s">
        <v>2166</v>
      </c>
    </row>
    <row r="30" spans="1:23" ht="17.100000000000001" customHeight="1" thickBot="1">
      <c r="A30" s="1568" t="s">
        <v>2547</v>
      </c>
      <c r="B30" s="1580">
        <v>388000</v>
      </c>
      <c r="C30" s="1580">
        <v>45000</v>
      </c>
      <c r="D30" s="1580">
        <v>433000</v>
      </c>
      <c r="E30" s="1580">
        <v>3271</v>
      </c>
      <c r="F30" s="1580">
        <v>436271</v>
      </c>
      <c r="G30" s="1580">
        <v>373242</v>
      </c>
      <c r="H30" s="1580">
        <v>38164</v>
      </c>
      <c r="I30" s="1580">
        <v>411406</v>
      </c>
      <c r="J30" s="1580">
        <v>246066</v>
      </c>
      <c r="K30" s="1580">
        <v>7721</v>
      </c>
      <c r="L30" s="1580">
        <v>3155</v>
      </c>
      <c r="M30" s="1580">
        <v>2675</v>
      </c>
      <c r="N30" s="1580">
        <v>259617</v>
      </c>
      <c r="O30" s="1580">
        <v>540</v>
      </c>
      <c r="P30" s="1580">
        <v>6501</v>
      </c>
      <c r="Q30" s="1580">
        <v>0</v>
      </c>
      <c r="R30" s="1580">
        <v>678064</v>
      </c>
      <c r="S30" s="1580">
        <v>-241793</v>
      </c>
      <c r="T30" s="1580">
        <v>95458</v>
      </c>
      <c r="U30" s="1580">
        <v>146335</v>
      </c>
      <c r="V30" s="1580">
        <v>241793</v>
      </c>
      <c r="W30" s="1600" t="s">
        <v>2550</v>
      </c>
    </row>
    <row r="31" spans="1:23" ht="15">
      <c r="A31" s="1569" t="s">
        <v>1510</v>
      </c>
      <c r="B31" s="1570" t="s">
        <v>2548</v>
      </c>
      <c r="C31" s="1558"/>
      <c r="D31" s="1558"/>
      <c r="E31" s="1558"/>
      <c r="F31" s="1558"/>
      <c r="G31" s="1571" t="s">
        <v>2549</v>
      </c>
      <c r="H31" s="1572"/>
      <c r="I31" s="1558"/>
      <c r="J31" s="1136"/>
      <c r="K31" s="1136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4"/>
      <c r="W31" s="1573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45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8" workbookViewId="0">
      <selection activeCell="K30" sqref="K30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400" t="s">
        <v>359</v>
      </c>
      <c r="C1" s="2400"/>
      <c r="D1" s="2400"/>
      <c r="E1" s="2400"/>
      <c r="F1" s="2400"/>
      <c r="G1" s="2400"/>
      <c r="H1" s="2400"/>
    </row>
    <row r="2" spans="2:8" s="4" customFormat="1" ht="12">
      <c r="B2" s="2401" t="s">
        <v>1435</v>
      </c>
      <c r="C2" s="2401"/>
      <c r="D2" s="2401"/>
      <c r="E2" s="2401"/>
      <c r="F2" s="2401"/>
      <c r="G2" s="2401"/>
      <c r="H2" s="2401"/>
    </row>
    <row r="3" spans="2:8">
      <c r="B3" s="193"/>
      <c r="C3" s="193"/>
      <c r="D3" s="193"/>
      <c r="E3" s="193"/>
      <c r="F3" s="193"/>
      <c r="G3" s="193"/>
      <c r="H3" s="193"/>
    </row>
    <row r="4" spans="2:8">
      <c r="B4" s="1272"/>
      <c r="C4" s="1272"/>
      <c r="D4" s="1272"/>
      <c r="E4" s="1272"/>
      <c r="F4" s="1272"/>
      <c r="G4" s="1272"/>
      <c r="H4" s="1272"/>
    </row>
    <row r="5" spans="2:8" ht="15" customHeight="1">
      <c r="B5" s="194" t="s">
        <v>430</v>
      </c>
      <c r="C5" s="195" t="s">
        <v>431</v>
      </c>
      <c r="D5" s="1272" t="s">
        <v>432</v>
      </c>
      <c r="E5" s="1272"/>
      <c r="F5" s="1272" t="s">
        <v>433</v>
      </c>
      <c r="G5" s="1272" t="s">
        <v>431</v>
      </c>
      <c r="H5" s="1272" t="s">
        <v>434</v>
      </c>
    </row>
    <row r="6" spans="2:8" ht="15" customHeight="1">
      <c r="B6" s="1272"/>
      <c r="C6" s="195" t="s">
        <v>431</v>
      </c>
      <c r="D6" s="195" t="s">
        <v>435</v>
      </c>
      <c r="E6" s="195"/>
      <c r="F6" s="195"/>
      <c r="G6" s="195" t="s">
        <v>431</v>
      </c>
      <c r="H6" s="195" t="s">
        <v>436</v>
      </c>
    </row>
    <row r="7" spans="2:8" ht="15" customHeight="1">
      <c r="B7" s="1272"/>
      <c r="C7" s="1272"/>
      <c r="D7" s="195"/>
      <c r="E7" s="195"/>
      <c r="F7" s="195"/>
      <c r="G7" s="195"/>
      <c r="H7" s="195"/>
    </row>
    <row r="8" spans="2:8" ht="15" customHeight="1">
      <c r="B8" s="195" t="s">
        <v>437</v>
      </c>
      <c r="C8" s="195" t="s">
        <v>431</v>
      </c>
      <c r="D8" s="195" t="s">
        <v>438</v>
      </c>
      <c r="E8" s="195"/>
      <c r="F8" s="195" t="s">
        <v>439</v>
      </c>
      <c r="G8" s="195" t="s">
        <v>431</v>
      </c>
      <c r="H8" s="195" t="s">
        <v>440</v>
      </c>
    </row>
    <row r="9" spans="2:8" ht="15" customHeight="1">
      <c r="B9" s="1272"/>
      <c r="C9" s="195"/>
      <c r="D9" s="195"/>
      <c r="E9" s="195"/>
      <c r="F9" s="195"/>
      <c r="G9" s="195" t="s">
        <v>431</v>
      </c>
      <c r="H9" s="195" t="s">
        <v>442</v>
      </c>
    </row>
    <row r="10" spans="2:8" ht="15" customHeight="1">
      <c r="B10" s="1272"/>
      <c r="C10" s="195"/>
      <c r="D10" s="195"/>
      <c r="E10" s="195"/>
      <c r="F10" s="195"/>
      <c r="G10" s="195"/>
      <c r="H10" s="195"/>
    </row>
    <row r="11" spans="2:8" ht="15" customHeight="1">
      <c r="B11" s="195" t="s">
        <v>443</v>
      </c>
      <c r="C11" s="195" t="s">
        <v>431</v>
      </c>
      <c r="D11" s="195" t="s">
        <v>444</v>
      </c>
      <c r="E11" s="195"/>
      <c r="F11" s="195" t="s">
        <v>445</v>
      </c>
      <c r="G11" s="195" t="s">
        <v>431</v>
      </c>
      <c r="H11" s="195" t="s">
        <v>446</v>
      </c>
    </row>
    <row r="12" spans="2:8" ht="15" customHeight="1">
      <c r="B12" s="195" t="s">
        <v>447</v>
      </c>
      <c r="C12" s="195" t="s">
        <v>431</v>
      </c>
      <c r="D12" s="195" t="s">
        <v>448</v>
      </c>
      <c r="E12" s="195"/>
      <c r="F12" s="195"/>
      <c r="G12" s="195" t="s">
        <v>431</v>
      </c>
      <c r="H12" s="195" t="s">
        <v>449</v>
      </c>
    </row>
    <row r="13" spans="2:8" ht="15" customHeight="1">
      <c r="B13" s="195"/>
      <c r="C13" s="195"/>
      <c r="D13" s="195"/>
      <c r="E13" s="195"/>
      <c r="F13" s="195"/>
      <c r="G13" s="195"/>
      <c r="H13" s="195"/>
    </row>
    <row r="14" spans="2:8" ht="15" customHeight="1">
      <c r="B14" s="195"/>
      <c r="C14" s="195"/>
      <c r="D14" s="195"/>
      <c r="E14" s="195"/>
      <c r="F14" s="195" t="s">
        <v>450</v>
      </c>
      <c r="G14" s="195" t="s">
        <v>431</v>
      </c>
      <c r="H14" s="195" t="s">
        <v>451</v>
      </c>
    </row>
    <row r="15" spans="2:8" ht="15" customHeight="1">
      <c r="B15" s="195" t="s">
        <v>452</v>
      </c>
      <c r="C15" s="195" t="s">
        <v>431</v>
      </c>
      <c r="D15" s="195" t="s">
        <v>453</v>
      </c>
      <c r="E15" s="195"/>
      <c r="F15" s="195"/>
      <c r="G15" s="195" t="s">
        <v>431</v>
      </c>
      <c r="H15" s="195" t="s">
        <v>454</v>
      </c>
    </row>
    <row r="16" spans="2:8" ht="15" customHeight="1">
      <c r="B16" s="195"/>
      <c r="C16" s="195" t="s">
        <v>431</v>
      </c>
      <c r="D16" s="195" t="s">
        <v>455</v>
      </c>
      <c r="E16" s="195"/>
      <c r="F16" s="195"/>
      <c r="G16" s="195"/>
      <c r="H16" s="195"/>
    </row>
    <row r="17" spans="2:8" ht="15" customHeight="1">
      <c r="B17" s="195"/>
      <c r="C17" s="195"/>
      <c r="E17" s="195"/>
      <c r="F17" s="195" t="s">
        <v>456</v>
      </c>
      <c r="G17" s="195" t="s">
        <v>431</v>
      </c>
      <c r="H17" s="195" t="s">
        <v>457</v>
      </c>
    </row>
    <row r="18" spans="2:8" ht="15" customHeight="1">
      <c r="B18" s="196" t="s">
        <v>458</v>
      </c>
      <c r="C18" s="195" t="s">
        <v>431</v>
      </c>
      <c r="D18" s="195" t="s">
        <v>461</v>
      </c>
      <c r="E18" s="195"/>
      <c r="F18" s="195" t="s">
        <v>459</v>
      </c>
      <c r="G18" s="195" t="s">
        <v>431</v>
      </c>
      <c r="H18" s="195" t="s">
        <v>460</v>
      </c>
    </row>
    <row r="19" spans="2:8" ht="15" customHeight="1">
      <c r="B19" s="2"/>
      <c r="C19" s="195" t="s">
        <v>431</v>
      </c>
      <c r="D19" s="196" t="s">
        <v>1316</v>
      </c>
      <c r="E19" s="195"/>
      <c r="F19" s="195" t="s">
        <v>520</v>
      </c>
      <c r="G19" s="195" t="s">
        <v>431</v>
      </c>
      <c r="H19" s="195" t="s">
        <v>462</v>
      </c>
    </row>
    <row r="20" spans="2:8" ht="15" customHeight="1">
      <c r="B20" s="195" t="s">
        <v>463</v>
      </c>
      <c r="C20" s="195" t="s">
        <v>431</v>
      </c>
      <c r="D20" s="195" t="s">
        <v>464</v>
      </c>
      <c r="E20" s="195"/>
      <c r="F20" s="195" t="s">
        <v>465</v>
      </c>
      <c r="G20" s="195" t="s">
        <v>431</v>
      </c>
      <c r="H20" s="195" t="s">
        <v>466</v>
      </c>
    </row>
    <row r="21" spans="2:8" ht="15" customHeight="1">
      <c r="B21" s="195"/>
      <c r="C21" s="195" t="s">
        <v>431</v>
      </c>
      <c r="D21" s="195" t="s">
        <v>467</v>
      </c>
      <c r="E21" s="195"/>
      <c r="F21" s="195" t="s">
        <v>468</v>
      </c>
      <c r="G21" s="195" t="s">
        <v>431</v>
      </c>
      <c r="H21" s="195" t="s">
        <v>469</v>
      </c>
    </row>
    <row r="22" spans="2:8" ht="15" customHeight="1">
      <c r="B22" s="195"/>
      <c r="C22" s="195" t="s">
        <v>431</v>
      </c>
      <c r="D22" s="195" t="s">
        <v>470</v>
      </c>
      <c r="E22" s="195"/>
      <c r="F22" s="195"/>
      <c r="G22" s="195" t="s">
        <v>431</v>
      </c>
      <c r="H22" s="195" t="s">
        <v>473</v>
      </c>
    </row>
    <row r="23" spans="2:8" ht="15" customHeight="1">
      <c r="B23" s="195"/>
      <c r="C23" s="195" t="s">
        <v>431</v>
      </c>
      <c r="D23" s="195" t="s">
        <v>474</v>
      </c>
      <c r="E23" s="195"/>
      <c r="F23" s="195"/>
      <c r="G23" s="195"/>
      <c r="H23" s="195"/>
    </row>
    <row r="24" spans="2:8" ht="15" customHeight="1">
      <c r="B24" s="195"/>
      <c r="C24" s="195"/>
      <c r="D24" s="195"/>
      <c r="E24" s="195"/>
      <c r="F24" s="195" t="s">
        <v>518</v>
      </c>
      <c r="G24" s="195" t="s">
        <v>431</v>
      </c>
      <c r="H24" s="195" t="s">
        <v>478</v>
      </c>
    </row>
    <row r="25" spans="2:8" ht="15" customHeight="1">
      <c r="B25" s="195" t="s">
        <v>479</v>
      </c>
      <c r="C25" s="195" t="s">
        <v>431</v>
      </c>
      <c r="D25" s="195" t="s">
        <v>480</v>
      </c>
      <c r="E25" s="195"/>
      <c r="F25" s="195"/>
      <c r="G25" s="195" t="s">
        <v>431</v>
      </c>
      <c r="H25" s="195" t="s">
        <v>481</v>
      </c>
    </row>
    <row r="26" spans="2:8" ht="15" customHeight="1">
      <c r="B26" s="195"/>
      <c r="C26" s="195" t="s">
        <v>431</v>
      </c>
      <c r="D26" s="195" t="s">
        <v>482</v>
      </c>
      <c r="E26" s="195"/>
      <c r="F26" s="195"/>
      <c r="G26" s="195" t="s">
        <v>431</v>
      </c>
      <c r="H26" s="195" t="s">
        <v>483</v>
      </c>
    </row>
    <row r="27" spans="2:8" ht="15" customHeight="1">
      <c r="B27" s="195"/>
      <c r="C27" s="197" t="s">
        <v>431</v>
      </c>
      <c r="D27" s="197" t="s">
        <v>484</v>
      </c>
      <c r="E27" s="195"/>
      <c r="F27" s="195"/>
      <c r="G27" s="195"/>
      <c r="H27" s="195"/>
    </row>
    <row r="28" spans="2:8" ht="15" customHeight="1">
      <c r="B28" s="195"/>
      <c r="C28" s="195"/>
      <c r="D28" s="195"/>
      <c r="E28" s="195"/>
      <c r="F28" s="195" t="s">
        <v>485</v>
      </c>
      <c r="G28" s="195" t="s">
        <v>431</v>
      </c>
      <c r="H28" s="195" t="s">
        <v>486</v>
      </c>
    </row>
    <row r="29" spans="2:8" ht="15" customHeight="1">
      <c r="B29" s="195" t="s">
        <v>487</v>
      </c>
      <c r="C29" s="195" t="s">
        <v>431</v>
      </c>
      <c r="D29" s="195" t="s">
        <v>488</v>
      </c>
      <c r="E29" s="195"/>
      <c r="F29" s="195" t="s">
        <v>489</v>
      </c>
      <c r="G29" s="195" t="s">
        <v>431</v>
      </c>
      <c r="H29" s="195" t="s">
        <v>490</v>
      </c>
    </row>
    <row r="30" spans="2:8" ht="15" customHeight="1">
      <c r="B30" s="195"/>
      <c r="C30" s="195" t="s">
        <v>431</v>
      </c>
      <c r="D30" s="195" t="s">
        <v>491</v>
      </c>
      <c r="E30" s="195"/>
      <c r="F30" s="195"/>
      <c r="G30" s="195" t="s">
        <v>431</v>
      </c>
      <c r="H30" s="195" t="s">
        <v>492</v>
      </c>
    </row>
    <row r="31" spans="2:8" ht="15" customHeight="1">
      <c r="B31" s="195"/>
      <c r="C31" s="195"/>
      <c r="D31" s="195"/>
      <c r="E31" s="195"/>
      <c r="F31" s="195"/>
      <c r="G31" s="195" t="s">
        <v>431</v>
      </c>
      <c r="H31" s="195" t="s">
        <v>519</v>
      </c>
    </row>
    <row r="32" spans="2:8" ht="15" customHeight="1">
      <c r="B32" s="195" t="s">
        <v>493</v>
      </c>
      <c r="C32" s="195" t="s">
        <v>431</v>
      </c>
      <c r="D32" s="195" t="s">
        <v>494</v>
      </c>
      <c r="E32" s="195"/>
      <c r="F32" s="195"/>
      <c r="G32" s="195" t="s">
        <v>431</v>
      </c>
      <c r="H32" s="195" t="s">
        <v>358</v>
      </c>
    </row>
    <row r="33" spans="2:8" ht="15" customHeight="1">
      <c r="B33" s="195"/>
      <c r="C33" s="195" t="s">
        <v>431</v>
      </c>
      <c r="D33" s="195" t="s">
        <v>495</v>
      </c>
      <c r="E33" s="195"/>
    </row>
    <row r="34" spans="2:8" ht="15" customHeight="1">
      <c r="B34" s="195"/>
      <c r="C34" s="195" t="s">
        <v>431</v>
      </c>
      <c r="D34" s="195" t="s">
        <v>498</v>
      </c>
      <c r="E34" s="195"/>
      <c r="F34" s="195" t="s">
        <v>496</v>
      </c>
      <c r="G34" s="195" t="s">
        <v>431</v>
      </c>
      <c r="H34" s="195" t="s">
        <v>497</v>
      </c>
    </row>
    <row r="35" spans="2:8" ht="15" customHeight="1">
      <c r="B35" s="195"/>
      <c r="C35" s="195"/>
      <c r="D35" s="195"/>
      <c r="E35" s="195"/>
      <c r="F35" s="195" t="s">
        <v>356</v>
      </c>
      <c r="G35" s="195" t="s">
        <v>431</v>
      </c>
      <c r="H35" s="195" t="s">
        <v>357</v>
      </c>
    </row>
    <row r="36" spans="2:8" ht="15" customHeight="1">
      <c r="B36" s="195" t="s">
        <v>499</v>
      </c>
      <c r="C36" s="195" t="s">
        <v>431</v>
      </c>
      <c r="D36" s="195" t="s">
        <v>500</v>
      </c>
      <c r="E36" s="195"/>
      <c r="F36" s="195" t="s">
        <v>795</v>
      </c>
      <c r="G36" s="195" t="s">
        <v>431</v>
      </c>
      <c r="H36" s="195" t="s">
        <v>355</v>
      </c>
    </row>
    <row r="37" spans="2:8" ht="15" customHeight="1" thickBot="1">
      <c r="B37" s="370"/>
      <c r="C37" s="370"/>
      <c r="D37" s="371"/>
      <c r="E37" s="371"/>
      <c r="F37" s="371"/>
      <c r="G37" s="371"/>
      <c r="H37" s="371"/>
    </row>
    <row r="38" spans="2:8" ht="15" customHeight="1">
      <c r="B38" s="2402" t="s">
        <v>1436</v>
      </c>
      <c r="C38" s="2402"/>
      <c r="D38" s="2402"/>
      <c r="E38" s="2402"/>
      <c r="F38" s="2402"/>
      <c r="G38" s="2402"/>
      <c r="H38" s="2402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45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7"/>
  <sheetViews>
    <sheetView zoomScale="170" zoomScaleNormal="170" workbookViewId="0">
      <pane xSplit="1" ySplit="8" topLeftCell="H47" activePane="bottomRight" state="frozen"/>
      <selection activeCell="F85" sqref="F85"/>
      <selection pane="topRight" activeCell="F85" sqref="F85"/>
      <selection pane="bottomLeft" activeCell="F85" sqref="F85"/>
      <selection pane="bottomRight" activeCell="L47" sqref="L47:L5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70"/>
      <c r="B1" s="1870"/>
      <c r="C1" s="1870"/>
      <c r="D1" s="1096"/>
      <c r="G1" s="1853" t="s">
        <v>415</v>
      </c>
      <c r="H1" s="1853"/>
      <c r="I1" s="1909" t="s">
        <v>1496</v>
      </c>
      <c r="J1" s="1909"/>
      <c r="K1" s="36"/>
      <c r="L1" s="36"/>
      <c r="M1" s="36"/>
      <c r="N1" s="36"/>
      <c r="O1" s="1853" t="s">
        <v>203</v>
      </c>
      <c r="P1" s="1853"/>
    </row>
    <row r="2" spans="1:16" ht="12" customHeight="1">
      <c r="A2" s="47"/>
      <c r="O2" s="1907" t="s">
        <v>24</v>
      </c>
      <c r="P2" s="1908"/>
    </row>
    <row r="3" spans="1:16" s="182" customFormat="1" ht="15" customHeight="1">
      <c r="A3" s="1838" t="s">
        <v>988</v>
      </c>
      <c r="B3" s="1898" t="s">
        <v>528</v>
      </c>
      <c r="C3" s="1898"/>
      <c r="D3" s="1899"/>
      <c r="E3" s="1906" t="s">
        <v>340</v>
      </c>
      <c r="F3" s="1898"/>
      <c r="G3" s="1898"/>
      <c r="H3" s="1898"/>
      <c r="I3" s="1898" t="s">
        <v>616</v>
      </c>
      <c r="J3" s="1898"/>
      <c r="K3" s="1898"/>
      <c r="L3" s="1133"/>
      <c r="M3" s="1882" t="s">
        <v>991</v>
      </c>
      <c r="N3" s="1882" t="s">
        <v>992</v>
      </c>
      <c r="O3" s="1896" t="s">
        <v>1497</v>
      </c>
      <c r="P3" s="1838" t="s">
        <v>988</v>
      </c>
    </row>
    <row r="4" spans="1:16" s="182" customFormat="1" ht="15" customHeight="1">
      <c r="A4" s="1839"/>
      <c r="B4" s="1900" t="s">
        <v>131</v>
      </c>
      <c r="C4" s="1882" t="s">
        <v>132</v>
      </c>
      <c r="D4" s="1882" t="s">
        <v>1116</v>
      </c>
      <c r="E4" s="1893" t="s">
        <v>187</v>
      </c>
      <c r="F4" s="1894"/>
      <c r="G4" s="1894"/>
      <c r="H4" s="1894"/>
      <c r="I4" s="1894"/>
      <c r="J4" s="1895"/>
      <c r="K4" s="1891" t="s">
        <v>990</v>
      </c>
      <c r="L4" s="1882" t="s">
        <v>626</v>
      </c>
      <c r="M4" s="1883"/>
      <c r="N4" s="1883"/>
      <c r="O4" s="1897"/>
      <c r="P4" s="1839"/>
    </row>
    <row r="5" spans="1:16" s="182" customFormat="1" ht="15" customHeight="1">
      <c r="A5" s="1839"/>
      <c r="B5" s="1901"/>
      <c r="C5" s="1883"/>
      <c r="D5" s="1883"/>
      <c r="E5" s="1887" t="s">
        <v>530</v>
      </c>
      <c r="F5" s="1888"/>
      <c r="G5" s="1889"/>
      <c r="H5" s="1902" t="s">
        <v>191</v>
      </c>
      <c r="I5" s="1903"/>
      <c r="J5" s="1900"/>
      <c r="K5" s="1892"/>
      <c r="L5" s="1883"/>
      <c r="M5" s="1883"/>
      <c r="N5" s="1883"/>
      <c r="O5" s="1897"/>
      <c r="P5" s="1839"/>
    </row>
    <row r="6" spans="1:16" s="182" customFormat="1" ht="15" customHeight="1">
      <c r="A6" s="1839"/>
      <c r="B6" s="1901"/>
      <c r="C6" s="1883"/>
      <c r="D6" s="1883"/>
      <c r="E6" s="1882" t="s">
        <v>131</v>
      </c>
      <c r="F6" s="1882" t="s">
        <v>132</v>
      </c>
      <c r="G6" s="1896" t="s">
        <v>1482</v>
      </c>
      <c r="H6" s="1785" t="s">
        <v>131</v>
      </c>
      <c r="I6" s="1785" t="s">
        <v>132</v>
      </c>
      <c r="J6" s="1904" t="s">
        <v>989</v>
      </c>
      <c r="K6" s="1892"/>
      <c r="L6" s="1883"/>
      <c r="M6" s="1883"/>
      <c r="N6" s="1883"/>
      <c r="O6" s="1897"/>
      <c r="P6" s="1839"/>
    </row>
    <row r="7" spans="1:16" s="182" customFormat="1" ht="15" customHeight="1">
      <c r="A7" s="1839"/>
      <c r="B7" s="1901"/>
      <c r="C7" s="1883"/>
      <c r="D7" s="1883"/>
      <c r="E7" s="1883"/>
      <c r="F7" s="1883"/>
      <c r="G7" s="1897"/>
      <c r="H7" s="1846"/>
      <c r="I7" s="1846"/>
      <c r="J7" s="1905"/>
      <c r="K7" s="1892"/>
      <c r="L7" s="1886"/>
      <c r="M7" s="1883"/>
      <c r="N7" s="1883"/>
      <c r="O7" s="1897"/>
      <c r="P7" s="1839"/>
    </row>
    <row r="8" spans="1:16" s="12" customFormat="1" ht="15" customHeight="1">
      <c r="A8" s="1840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40"/>
    </row>
    <row r="9" spans="1:16" ht="12.6" customHeight="1">
      <c r="A9" s="336" t="s">
        <v>81</v>
      </c>
      <c r="B9" s="505">
        <v>61181</v>
      </c>
      <c r="C9" s="326">
        <v>5868.8</v>
      </c>
      <c r="D9" s="326">
        <f t="shared" ref="D9:D11" si="0">B9+C9</f>
        <v>67049.8</v>
      </c>
      <c r="E9" s="559">
        <v>21471.200000000001</v>
      </c>
      <c r="F9" s="559">
        <v>32781.699999999997</v>
      </c>
      <c r="G9" s="326">
        <f t="shared" ref="G9:G10" si="1">E9+F9</f>
        <v>54252.899999999994</v>
      </c>
      <c r="H9" s="326">
        <v>830.7</v>
      </c>
      <c r="I9" s="559">
        <v>11983.2</v>
      </c>
      <c r="J9" s="326">
        <f t="shared" ref="J9:J10" si="2">H9+I9</f>
        <v>12813.900000000001</v>
      </c>
      <c r="K9" s="322">
        <v>270760.8</v>
      </c>
      <c r="L9" s="317">
        <f t="shared" ref="L9:L10" si="3">G9+J9+K9</f>
        <v>337827.6</v>
      </c>
      <c r="M9" s="559">
        <v>-41846</v>
      </c>
      <c r="N9" s="317">
        <f t="shared" ref="N9" si="4">L9+M9</f>
        <v>295981.59999999998</v>
      </c>
      <c r="O9" s="322">
        <v>363031.2</v>
      </c>
      <c r="P9" s="337" t="s">
        <v>81</v>
      </c>
    </row>
    <row r="10" spans="1:16" s="177" customFormat="1" ht="12.6" customHeight="1">
      <c r="A10" s="554" t="s">
        <v>199</v>
      </c>
      <c r="B10" s="504">
        <v>61342.1</v>
      </c>
      <c r="C10" s="29">
        <v>9231.2999999999993</v>
      </c>
      <c r="D10" s="29">
        <f t="shared" si="0"/>
        <v>70573.399999999994</v>
      </c>
      <c r="E10" s="536">
        <v>31710.5</v>
      </c>
      <c r="F10" s="536">
        <v>41517.4</v>
      </c>
      <c r="G10" s="29">
        <f t="shared" si="1"/>
        <v>73227.899999999994</v>
      </c>
      <c r="H10" s="29">
        <v>776.7</v>
      </c>
      <c r="I10" s="536">
        <v>16175.7</v>
      </c>
      <c r="J10" s="29">
        <f t="shared" si="2"/>
        <v>16952.400000000001</v>
      </c>
      <c r="K10" s="280">
        <v>340712.7</v>
      </c>
      <c r="L10" s="252">
        <f t="shared" si="3"/>
        <v>430893</v>
      </c>
      <c r="M10" s="536">
        <v>-60946.400000000001</v>
      </c>
      <c r="N10" s="252">
        <v>369946.5</v>
      </c>
      <c r="O10" s="280">
        <v>440519.9</v>
      </c>
      <c r="P10" s="549" t="s">
        <v>199</v>
      </c>
    </row>
    <row r="11" spans="1:16" s="177" customFormat="1" ht="12.6" customHeight="1">
      <c r="A11" s="336" t="s">
        <v>792</v>
      </c>
      <c r="B11" s="505">
        <v>68930.100000000006</v>
      </c>
      <c r="C11" s="326">
        <v>9888.6</v>
      </c>
      <c r="D11" s="326">
        <f t="shared" si="0"/>
        <v>78818.700000000012</v>
      </c>
      <c r="E11" s="559">
        <v>37854.9</v>
      </c>
      <c r="F11" s="559">
        <v>53873.9</v>
      </c>
      <c r="G11" s="326">
        <v>91728.9</v>
      </c>
      <c r="H11" s="326">
        <v>1181.9000000000001</v>
      </c>
      <c r="I11" s="559">
        <v>14160.2</v>
      </c>
      <c r="J11" s="326">
        <v>15342.1</v>
      </c>
      <c r="K11" s="322">
        <v>407901.60000000003</v>
      </c>
      <c r="L11" s="317">
        <v>514972.60000000003</v>
      </c>
      <c r="M11" s="559">
        <v>-76681.7</v>
      </c>
      <c r="N11" s="317">
        <v>438290.80000000005</v>
      </c>
      <c r="O11" s="322">
        <v>517109.50000000006</v>
      </c>
      <c r="P11" s="337" t="s">
        <v>792</v>
      </c>
    </row>
    <row r="12" spans="1:16" s="177" customFormat="1" ht="12.6" customHeight="1">
      <c r="A12" s="554" t="s">
        <v>908</v>
      </c>
      <c r="B12" s="504">
        <v>103246</v>
      </c>
      <c r="C12" s="29">
        <v>10004.200000000001</v>
      </c>
      <c r="D12" s="29">
        <v>113250.2</v>
      </c>
      <c r="E12" s="536">
        <v>27069</v>
      </c>
      <c r="F12" s="536">
        <v>83055.600000000006</v>
      </c>
      <c r="G12" s="29">
        <v>110124.6</v>
      </c>
      <c r="H12" s="29">
        <v>1354.5</v>
      </c>
      <c r="I12" s="536">
        <v>8100.8</v>
      </c>
      <c r="J12" s="29">
        <v>9455.2999999999993</v>
      </c>
      <c r="K12" s="280">
        <v>452157.2</v>
      </c>
      <c r="L12" s="252">
        <v>571737.1</v>
      </c>
      <c r="M12" s="536">
        <v>-81481.7</v>
      </c>
      <c r="N12" s="252">
        <f>L12+M12</f>
        <v>490255.39999999997</v>
      </c>
      <c r="O12" s="252">
        <f>D12+N12</f>
        <v>603505.6</v>
      </c>
      <c r="P12" s="549" t="s">
        <v>908</v>
      </c>
    </row>
    <row r="13" spans="1:16" s="280" customFormat="1" ht="12.6" customHeight="1">
      <c r="A13" s="315" t="s">
        <v>1108</v>
      </c>
      <c r="B13" s="317">
        <v>147496.6</v>
      </c>
      <c r="C13" s="317">
        <v>12560</v>
      </c>
      <c r="D13" s="317">
        <v>160056.6</v>
      </c>
      <c r="E13" s="317">
        <v>3840.6</v>
      </c>
      <c r="F13" s="317">
        <v>113688.8</v>
      </c>
      <c r="G13" s="317">
        <v>117529.40000000001</v>
      </c>
      <c r="H13" s="317">
        <v>1202.7</v>
      </c>
      <c r="I13" s="317">
        <v>11534.2</v>
      </c>
      <c r="J13" s="317">
        <v>12736.900000000001</v>
      </c>
      <c r="K13" s="317">
        <v>507639.9</v>
      </c>
      <c r="L13" s="317">
        <v>637906.20000000007</v>
      </c>
      <c r="M13" s="317">
        <v>-97339.3</v>
      </c>
      <c r="N13" s="317">
        <v>540566.9</v>
      </c>
      <c r="O13" s="317">
        <v>700623.5</v>
      </c>
      <c r="P13" s="418" t="s">
        <v>1108</v>
      </c>
    </row>
    <row r="14" spans="1:16" s="280" customFormat="1" ht="12.6" customHeight="1">
      <c r="A14" s="250" t="s">
        <v>1167</v>
      </c>
      <c r="B14" s="509">
        <v>177401.3</v>
      </c>
      <c r="C14" s="509">
        <v>11827.5</v>
      </c>
      <c r="D14" s="508">
        <v>189228.79999999999</v>
      </c>
      <c r="E14" s="508">
        <v>810.5</v>
      </c>
      <c r="F14" s="508">
        <v>109446.8</v>
      </c>
      <c r="G14" s="508">
        <v>110257.3</v>
      </c>
      <c r="H14" s="508">
        <v>2160.8000000000002</v>
      </c>
      <c r="I14" s="508">
        <v>14509</v>
      </c>
      <c r="J14" s="508">
        <v>16669.8</v>
      </c>
      <c r="K14" s="508">
        <v>574599.4</v>
      </c>
      <c r="L14" s="508">
        <v>701526.5</v>
      </c>
      <c r="M14" s="508">
        <v>-103141.2</v>
      </c>
      <c r="N14" s="508">
        <v>598385.30000000005</v>
      </c>
      <c r="O14" s="508">
        <v>787614.10000000009</v>
      </c>
      <c r="P14" s="441" t="s">
        <v>1167</v>
      </c>
    </row>
    <row r="15" spans="1:16" s="100" customFormat="1" ht="12.6" customHeight="1">
      <c r="A15" s="354" t="s">
        <v>1299</v>
      </c>
      <c r="B15" s="317">
        <v>218904.1</v>
      </c>
      <c r="C15" s="317">
        <v>14231.5</v>
      </c>
      <c r="D15" s="317">
        <v>233135.6</v>
      </c>
      <c r="E15" s="317">
        <v>13373.7</v>
      </c>
      <c r="F15" s="317">
        <v>100845.9</v>
      </c>
      <c r="G15" s="317">
        <v>114219.59999999999</v>
      </c>
      <c r="H15" s="317">
        <v>2015.5</v>
      </c>
      <c r="I15" s="317">
        <v>14035.6</v>
      </c>
      <c r="J15" s="317">
        <v>16051.1</v>
      </c>
      <c r="K15" s="317">
        <v>671009.30000000005</v>
      </c>
      <c r="L15" s="317">
        <v>801280</v>
      </c>
      <c r="M15" s="317">
        <v>-118037.8</v>
      </c>
      <c r="N15" s="317">
        <v>683242.2</v>
      </c>
      <c r="O15" s="317">
        <v>916377.79999999993</v>
      </c>
      <c r="P15" s="385" t="s">
        <v>1299</v>
      </c>
    </row>
    <row r="16" spans="1:16" s="274" customFormat="1" ht="12.6" customHeight="1">
      <c r="A16" s="278" t="s">
        <v>1332</v>
      </c>
      <c r="B16" s="252">
        <v>252027</v>
      </c>
      <c r="C16" s="252">
        <v>14670</v>
      </c>
      <c r="D16" s="252">
        <v>266697</v>
      </c>
      <c r="E16" s="252">
        <v>12977.7</v>
      </c>
      <c r="F16" s="252">
        <v>84355.8</v>
      </c>
      <c r="G16" s="252">
        <v>97333.5</v>
      </c>
      <c r="H16" s="252">
        <v>2157.8000000000002</v>
      </c>
      <c r="I16" s="252">
        <v>15122.4</v>
      </c>
      <c r="J16" s="252">
        <v>17280.2</v>
      </c>
      <c r="K16" s="252">
        <v>776056.5</v>
      </c>
      <c r="L16" s="252">
        <v>890670.2</v>
      </c>
      <c r="M16" s="252">
        <v>-141291.1</v>
      </c>
      <c r="N16" s="252">
        <v>749379.1</v>
      </c>
      <c r="O16" s="252">
        <v>1016076.1</v>
      </c>
      <c r="P16" s="419" t="s">
        <v>1332</v>
      </c>
    </row>
    <row r="17" spans="1:19" s="274" customFormat="1" ht="12.6" customHeight="1">
      <c r="A17" s="354" t="s">
        <v>1471</v>
      </c>
      <c r="B17" s="317">
        <v>253509.8</v>
      </c>
      <c r="C17" s="317">
        <v>11164.6</v>
      </c>
      <c r="D17" s="317">
        <v>264674.39999999997</v>
      </c>
      <c r="E17" s="317">
        <v>22572.2</v>
      </c>
      <c r="F17" s="317">
        <v>72322.7</v>
      </c>
      <c r="G17" s="317">
        <v>94894.9</v>
      </c>
      <c r="H17" s="317">
        <v>2367.8000000000002</v>
      </c>
      <c r="I17" s="317">
        <v>16832.3</v>
      </c>
      <c r="J17" s="317">
        <v>19200.099999999999</v>
      </c>
      <c r="K17" s="317">
        <v>907531.6</v>
      </c>
      <c r="L17" s="317">
        <v>1021626.6</v>
      </c>
      <c r="M17" s="317">
        <v>-176320</v>
      </c>
      <c r="N17" s="317">
        <v>845306.6</v>
      </c>
      <c r="O17" s="317">
        <v>1109981</v>
      </c>
      <c r="P17" s="385" t="s">
        <v>1471</v>
      </c>
    </row>
    <row r="18" spans="1:19" s="289" customFormat="1" ht="12.6" customHeight="1">
      <c r="A18" s="175" t="s">
        <v>1600</v>
      </c>
      <c r="B18" s="252">
        <v>257195.4</v>
      </c>
      <c r="C18" s="252">
        <v>15204.1</v>
      </c>
      <c r="D18" s="252">
        <v>272399.5</v>
      </c>
      <c r="E18" s="252">
        <v>31189</v>
      </c>
      <c r="F18" s="252">
        <v>82084.399999999994</v>
      </c>
      <c r="G18" s="252">
        <v>113273.4</v>
      </c>
      <c r="H18" s="252">
        <v>2380.4</v>
      </c>
      <c r="I18" s="252">
        <v>20975.200000000001</v>
      </c>
      <c r="J18" s="252">
        <v>23355.600000000002</v>
      </c>
      <c r="K18" s="252">
        <v>1010255.7</v>
      </c>
      <c r="L18" s="252">
        <v>1146884.7</v>
      </c>
      <c r="M18" s="252">
        <v>-199672.7</v>
      </c>
      <c r="N18" s="252">
        <v>947212</v>
      </c>
      <c r="O18" s="252">
        <v>1219611.5</v>
      </c>
      <c r="P18" s="228" t="s">
        <v>1600</v>
      </c>
    </row>
    <row r="19" spans="1:19" s="177" customFormat="1" ht="12.6" customHeight="1">
      <c r="A19" s="334" t="s">
        <v>1695</v>
      </c>
      <c r="B19" s="365">
        <v>290174.90000000002</v>
      </c>
      <c r="C19" s="365">
        <v>11295.3</v>
      </c>
      <c r="D19" s="365">
        <v>301470.2</v>
      </c>
      <c r="E19" s="365">
        <v>37114.9</v>
      </c>
      <c r="F19" s="365">
        <v>139033.60000000001</v>
      </c>
      <c r="G19" s="365">
        <v>176148.5</v>
      </c>
      <c r="H19" s="365">
        <v>2551.9</v>
      </c>
      <c r="I19" s="365">
        <v>26663.200000000001</v>
      </c>
      <c r="J19" s="365">
        <v>29215.100000000002</v>
      </c>
      <c r="K19" s="365">
        <v>1097271</v>
      </c>
      <c r="L19" s="365">
        <v>1302634.6000000001</v>
      </c>
      <c r="M19" s="365">
        <v>-230369.8</v>
      </c>
      <c r="N19" s="365">
        <v>1072264.8</v>
      </c>
      <c r="O19" s="365">
        <v>1373735</v>
      </c>
      <c r="P19" s="335" t="s">
        <v>1695</v>
      </c>
    </row>
    <row r="20" spans="1:19" s="175" customFormat="1" ht="12.6" customHeight="1">
      <c r="A20" s="204" t="s">
        <v>1764</v>
      </c>
      <c r="B20" s="373">
        <f>B32</f>
        <v>366917.3</v>
      </c>
      <c r="C20" s="373">
        <f t="shared" ref="C20:O20" si="5">C32</f>
        <v>15420.2</v>
      </c>
      <c r="D20" s="373">
        <f t="shared" si="5"/>
        <v>382337.5</v>
      </c>
      <c r="E20" s="373">
        <f t="shared" si="5"/>
        <v>17285.5</v>
      </c>
      <c r="F20" s="373">
        <f t="shared" si="5"/>
        <v>203740.4</v>
      </c>
      <c r="G20" s="373">
        <f t="shared" si="5"/>
        <v>221025.9</v>
      </c>
      <c r="H20" s="373">
        <f t="shared" si="5"/>
        <v>3218.1</v>
      </c>
      <c r="I20" s="373">
        <f t="shared" si="5"/>
        <v>26799.7</v>
      </c>
      <c r="J20" s="373">
        <f t="shared" si="5"/>
        <v>30017.8</v>
      </c>
      <c r="K20" s="373">
        <f t="shared" si="5"/>
        <v>1188855.3999999999</v>
      </c>
      <c r="L20" s="373">
        <f t="shared" si="5"/>
        <v>1439899.0999999999</v>
      </c>
      <c r="M20" s="373">
        <f t="shared" si="5"/>
        <v>-261341.3</v>
      </c>
      <c r="N20" s="373">
        <f t="shared" si="5"/>
        <v>1178557.7999999998</v>
      </c>
      <c r="O20" s="373">
        <f t="shared" si="5"/>
        <v>1560895.2999999998</v>
      </c>
      <c r="P20" s="516" t="s">
        <v>1764</v>
      </c>
    </row>
    <row r="21" spans="1:19" s="175" customFormat="1" ht="12.6" customHeight="1">
      <c r="A21" s="332" t="s">
        <v>606</v>
      </c>
      <c r="B21" s="317">
        <v>297266.40000000002</v>
      </c>
      <c r="C21" s="317">
        <v>13630.7</v>
      </c>
      <c r="D21" s="317">
        <f t="shared" ref="D21:D50" si="6">B21+C21</f>
        <v>310897.10000000003</v>
      </c>
      <c r="E21" s="317">
        <v>38923.9</v>
      </c>
      <c r="F21" s="317">
        <v>157771</v>
      </c>
      <c r="G21" s="317">
        <f t="shared" ref="G21:G50" si="7">E21+F21</f>
        <v>196694.9</v>
      </c>
      <c r="H21" s="317">
        <v>2502.6999999999998</v>
      </c>
      <c r="I21" s="317">
        <v>26555.599999999999</v>
      </c>
      <c r="J21" s="317">
        <f t="shared" ref="J21:J50" si="8">H21+I21</f>
        <v>29058.3</v>
      </c>
      <c r="K21" s="317">
        <f>5126.4+1090075.4</f>
        <v>1095201.7999999998</v>
      </c>
      <c r="L21" s="317">
        <f t="shared" ref="L21:L38" si="9">G21+J21+K21</f>
        <v>1320954.9999999998</v>
      </c>
      <c r="M21" s="317">
        <v>-226973.8</v>
      </c>
      <c r="N21" s="317">
        <f t="shared" ref="N21:N50" si="10">L21+M21</f>
        <v>1093981.1999999997</v>
      </c>
      <c r="O21" s="317">
        <f t="shared" ref="O21:O50" si="11">D21+N21</f>
        <v>1404878.2999999998</v>
      </c>
      <c r="P21" s="333" t="s">
        <v>606</v>
      </c>
      <c r="S21" s="815"/>
    </row>
    <row r="22" spans="1:19" s="175" customFormat="1" ht="12.6" customHeight="1">
      <c r="A22" s="175" t="s">
        <v>607</v>
      </c>
      <c r="B22" s="252">
        <v>307680.5</v>
      </c>
      <c r="C22" s="252">
        <v>14569.5</v>
      </c>
      <c r="D22" s="252">
        <f t="shared" si="6"/>
        <v>322250</v>
      </c>
      <c r="E22" s="252">
        <v>22094.6</v>
      </c>
      <c r="F22" s="252">
        <v>173093.3</v>
      </c>
      <c r="G22" s="252">
        <f t="shared" si="7"/>
        <v>195187.9</v>
      </c>
      <c r="H22" s="252">
        <v>2581.6</v>
      </c>
      <c r="I22" s="252">
        <v>26954.400000000001</v>
      </c>
      <c r="J22" s="252">
        <f t="shared" si="8"/>
        <v>29536</v>
      </c>
      <c r="K22" s="252">
        <f>5042.8+1096632.9</f>
        <v>1101675.7</v>
      </c>
      <c r="L22" s="252">
        <f t="shared" si="9"/>
        <v>1326399.5999999999</v>
      </c>
      <c r="M22" s="252">
        <v>-233237.3</v>
      </c>
      <c r="N22" s="252">
        <f t="shared" si="10"/>
        <v>1093162.2999999998</v>
      </c>
      <c r="O22" s="252">
        <f t="shared" si="11"/>
        <v>1415412.2999999998</v>
      </c>
      <c r="P22" s="228" t="s">
        <v>607</v>
      </c>
      <c r="S22" s="815"/>
    </row>
    <row r="23" spans="1:19" s="175" customFormat="1" ht="12.6" customHeight="1">
      <c r="A23" s="639" t="s">
        <v>601</v>
      </c>
      <c r="B23" s="317">
        <v>313613.3</v>
      </c>
      <c r="C23" s="317">
        <v>17544.3</v>
      </c>
      <c r="D23" s="317">
        <f t="shared" si="6"/>
        <v>331157.59999999998</v>
      </c>
      <c r="E23" s="317">
        <v>12186.7</v>
      </c>
      <c r="F23" s="317">
        <v>178311.9</v>
      </c>
      <c r="G23" s="317">
        <f t="shared" si="7"/>
        <v>190498.6</v>
      </c>
      <c r="H23" s="317">
        <v>2584.5</v>
      </c>
      <c r="I23" s="317">
        <v>26793.5</v>
      </c>
      <c r="J23" s="317">
        <f t="shared" si="8"/>
        <v>29378</v>
      </c>
      <c r="K23" s="317">
        <f>5039.2+1108043.1</f>
        <v>1113082.3</v>
      </c>
      <c r="L23" s="317">
        <f t="shared" si="9"/>
        <v>1332958.9000000001</v>
      </c>
      <c r="M23" s="317">
        <v>-237912</v>
      </c>
      <c r="N23" s="317">
        <f t="shared" si="10"/>
        <v>1095046.9000000001</v>
      </c>
      <c r="O23" s="317">
        <f t="shared" si="11"/>
        <v>1426204.5</v>
      </c>
      <c r="P23" s="333" t="s">
        <v>601</v>
      </c>
      <c r="S23" s="815"/>
    </row>
    <row r="24" spans="1:19" s="175" customFormat="1" ht="12.6" customHeight="1">
      <c r="A24" s="175" t="s">
        <v>608</v>
      </c>
      <c r="B24" s="252">
        <v>322383.40000000002</v>
      </c>
      <c r="C24" s="252">
        <v>14543.2</v>
      </c>
      <c r="D24" s="252">
        <f t="shared" si="6"/>
        <v>336926.60000000003</v>
      </c>
      <c r="E24" s="252">
        <v>11533.9</v>
      </c>
      <c r="F24" s="252">
        <v>180073.2</v>
      </c>
      <c r="G24" s="252">
        <f t="shared" si="7"/>
        <v>191607.1</v>
      </c>
      <c r="H24" s="252">
        <v>2911.9</v>
      </c>
      <c r="I24" s="252">
        <v>27143.7</v>
      </c>
      <c r="J24" s="252">
        <f t="shared" si="8"/>
        <v>30055.600000000002</v>
      </c>
      <c r="K24" s="252">
        <f>5085.2+1109237.2</f>
        <v>1114322.3999999999</v>
      </c>
      <c r="L24" s="252">
        <f t="shared" si="9"/>
        <v>1335985.0999999999</v>
      </c>
      <c r="M24" s="252">
        <v>-233183.7</v>
      </c>
      <c r="N24" s="252">
        <f t="shared" si="10"/>
        <v>1102801.3999999999</v>
      </c>
      <c r="O24" s="252">
        <f t="shared" si="11"/>
        <v>1439728</v>
      </c>
      <c r="P24" s="228" t="s">
        <v>608</v>
      </c>
      <c r="S24" s="815"/>
    </row>
    <row r="25" spans="1:19" s="175" customFormat="1" ht="12.6" customHeight="1">
      <c r="A25" s="332" t="s">
        <v>609</v>
      </c>
      <c r="B25" s="317">
        <v>330892.7</v>
      </c>
      <c r="C25" s="317">
        <v>14510.5</v>
      </c>
      <c r="D25" s="317">
        <f t="shared" si="6"/>
        <v>345403.2</v>
      </c>
      <c r="E25" s="317">
        <v>9855.7999999999993</v>
      </c>
      <c r="F25" s="317">
        <v>183290.2</v>
      </c>
      <c r="G25" s="317">
        <f t="shared" si="7"/>
        <v>193146</v>
      </c>
      <c r="H25" s="317">
        <v>2873.3</v>
      </c>
      <c r="I25" s="317">
        <v>27767.5</v>
      </c>
      <c r="J25" s="317">
        <f t="shared" si="8"/>
        <v>30640.799999999999</v>
      </c>
      <c r="K25" s="317">
        <f>5047.4+1115854.6</f>
        <v>1120902</v>
      </c>
      <c r="L25" s="317">
        <f t="shared" si="9"/>
        <v>1344688.8</v>
      </c>
      <c r="M25" s="317">
        <v>-236131.9</v>
      </c>
      <c r="N25" s="317">
        <f t="shared" si="10"/>
        <v>1108556.9000000001</v>
      </c>
      <c r="O25" s="317">
        <f t="shared" si="11"/>
        <v>1453960.1</v>
      </c>
      <c r="P25" s="333" t="s">
        <v>609</v>
      </c>
      <c r="S25" s="815"/>
    </row>
    <row r="26" spans="1:19" s="175" customFormat="1" ht="12.6" customHeight="1">
      <c r="A26" s="175" t="s">
        <v>602</v>
      </c>
      <c r="B26" s="252">
        <v>341180.7</v>
      </c>
      <c r="C26" s="252">
        <v>15796.1</v>
      </c>
      <c r="D26" s="252">
        <f t="shared" si="6"/>
        <v>356976.8</v>
      </c>
      <c r="E26" s="252">
        <v>1313.5</v>
      </c>
      <c r="F26" s="252">
        <v>189969.1</v>
      </c>
      <c r="G26" s="252">
        <f t="shared" si="7"/>
        <v>191282.6</v>
      </c>
      <c r="H26" s="252">
        <v>2832.9</v>
      </c>
      <c r="I26" s="252">
        <v>28157</v>
      </c>
      <c r="J26" s="252">
        <f t="shared" si="8"/>
        <v>30989.9</v>
      </c>
      <c r="K26" s="252">
        <f>5329.2+1135973.8</f>
        <v>1141303</v>
      </c>
      <c r="L26" s="252">
        <f t="shared" si="9"/>
        <v>1363575.5</v>
      </c>
      <c r="M26" s="252">
        <v>-241867.8</v>
      </c>
      <c r="N26" s="252">
        <f t="shared" si="10"/>
        <v>1121707.7</v>
      </c>
      <c r="O26" s="252">
        <f t="shared" si="11"/>
        <v>1478684.5</v>
      </c>
      <c r="P26" s="228" t="s">
        <v>602</v>
      </c>
      <c r="S26" s="815"/>
    </row>
    <row r="27" spans="1:19" s="175" customFormat="1" ht="12.6" customHeight="1">
      <c r="A27" s="332" t="s">
        <v>610</v>
      </c>
      <c r="B27" s="317">
        <v>343476.8</v>
      </c>
      <c r="C27" s="317">
        <v>15680.7</v>
      </c>
      <c r="D27" s="317">
        <f t="shared" si="6"/>
        <v>359157.5</v>
      </c>
      <c r="E27" s="317">
        <v>-206.2</v>
      </c>
      <c r="F27" s="317">
        <v>191567.2</v>
      </c>
      <c r="G27" s="317">
        <f t="shared" si="7"/>
        <v>191361</v>
      </c>
      <c r="H27" s="317">
        <v>3177.5</v>
      </c>
      <c r="I27" s="317">
        <v>27862.799999999999</v>
      </c>
      <c r="J27" s="317">
        <f t="shared" si="8"/>
        <v>31040.3</v>
      </c>
      <c r="K27" s="317">
        <f>5363.1+1134660.2</f>
        <v>1140023.3</v>
      </c>
      <c r="L27" s="317">
        <f t="shared" si="9"/>
        <v>1362424.6</v>
      </c>
      <c r="M27" s="317">
        <v>-249111.2</v>
      </c>
      <c r="N27" s="317">
        <f t="shared" si="10"/>
        <v>1113313.4000000001</v>
      </c>
      <c r="O27" s="317">
        <f t="shared" si="11"/>
        <v>1472470.9000000001</v>
      </c>
      <c r="P27" s="333" t="s">
        <v>610</v>
      </c>
      <c r="S27" s="815"/>
    </row>
    <row r="28" spans="1:19" s="175" customFormat="1" ht="12.6" customHeight="1">
      <c r="A28" s="175" t="s">
        <v>611</v>
      </c>
      <c r="B28" s="252">
        <v>347148.6</v>
      </c>
      <c r="C28" s="252">
        <v>14582.4</v>
      </c>
      <c r="D28" s="252">
        <f t="shared" si="6"/>
        <v>361731</v>
      </c>
      <c r="E28" s="252">
        <v>-11316.8</v>
      </c>
      <c r="F28" s="252">
        <v>190828.3</v>
      </c>
      <c r="G28" s="252">
        <f t="shared" si="7"/>
        <v>179511.5</v>
      </c>
      <c r="H28" s="252">
        <v>3182.9</v>
      </c>
      <c r="I28" s="252">
        <v>28299.200000000001</v>
      </c>
      <c r="J28" s="252">
        <f t="shared" si="8"/>
        <v>31482.100000000002</v>
      </c>
      <c r="K28" s="252">
        <f>5375.3+1148135.3</f>
        <v>1153510.6000000001</v>
      </c>
      <c r="L28" s="252">
        <f t="shared" si="9"/>
        <v>1364504.2000000002</v>
      </c>
      <c r="M28" s="252">
        <v>-245302.1</v>
      </c>
      <c r="N28" s="252">
        <f t="shared" si="10"/>
        <v>1119202.1000000001</v>
      </c>
      <c r="O28" s="252">
        <f t="shared" si="11"/>
        <v>1480933.1</v>
      </c>
      <c r="P28" s="228" t="s">
        <v>611</v>
      </c>
      <c r="S28" s="815"/>
    </row>
    <row r="29" spans="1:19" s="175" customFormat="1" ht="12.6" customHeight="1">
      <c r="A29" s="332" t="s">
        <v>603</v>
      </c>
      <c r="B29" s="317">
        <v>346841.2</v>
      </c>
      <c r="C29" s="317">
        <v>15356.7</v>
      </c>
      <c r="D29" s="317">
        <f t="shared" si="6"/>
        <v>362197.9</v>
      </c>
      <c r="E29" s="317">
        <v>-9799.1</v>
      </c>
      <c r="F29" s="317">
        <v>188710.9</v>
      </c>
      <c r="G29" s="317">
        <f t="shared" si="7"/>
        <v>178911.8</v>
      </c>
      <c r="H29" s="317">
        <v>3263.5</v>
      </c>
      <c r="I29" s="317">
        <v>28175</v>
      </c>
      <c r="J29" s="317">
        <f t="shared" si="8"/>
        <v>31438.5</v>
      </c>
      <c r="K29" s="317">
        <f>5459+1154924.4</f>
        <v>1160383.3999999999</v>
      </c>
      <c r="L29" s="317">
        <f t="shared" si="9"/>
        <v>1370733.7</v>
      </c>
      <c r="M29" s="317">
        <v>-249137.8</v>
      </c>
      <c r="N29" s="317">
        <f t="shared" si="10"/>
        <v>1121595.8999999999</v>
      </c>
      <c r="O29" s="317">
        <f t="shared" si="11"/>
        <v>1483793.7999999998</v>
      </c>
      <c r="P29" s="333" t="s">
        <v>603</v>
      </c>
      <c r="S29" s="815"/>
    </row>
    <row r="30" spans="1:19" s="175" customFormat="1" ht="12.6" customHeight="1">
      <c r="A30" s="175" t="s">
        <v>612</v>
      </c>
      <c r="B30" s="252">
        <v>352524.2</v>
      </c>
      <c r="C30" s="252">
        <v>17183</v>
      </c>
      <c r="D30" s="252">
        <f t="shared" si="6"/>
        <v>369707.2</v>
      </c>
      <c r="E30" s="252">
        <v>-1952.8</v>
      </c>
      <c r="F30" s="252">
        <v>189120.9</v>
      </c>
      <c r="G30" s="252">
        <f t="shared" si="7"/>
        <v>187168.1</v>
      </c>
      <c r="H30" s="252">
        <v>3189.7</v>
      </c>
      <c r="I30" s="252">
        <v>27542.6</v>
      </c>
      <c r="J30" s="252">
        <f t="shared" si="8"/>
        <v>30732.3</v>
      </c>
      <c r="K30" s="252">
        <f>5517.9+1158813.5</f>
        <v>1164331.3999999999</v>
      </c>
      <c r="L30" s="252">
        <f t="shared" si="9"/>
        <v>1382231.7999999998</v>
      </c>
      <c r="M30" s="252">
        <v>-251497.5</v>
      </c>
      <c r="N30" s="252">
        <f t="shared" si="10"/>
        <v>1130734.2999999998</v>
      </c>
      <c r="O30" s="252">
        <f t="shared" si="11"/>
        <v>1500441.4999999998</v>
      </c>
      <c r="P30" s="228" t="s">
        <v>612</v>
      </c>
      <c r="S30" s="815"/>
    </row>
    <row r="31" spans="1:19" s="175" customFormat="1" ht="12.6" customHeight="1">
      <c r="A31" s="332" t="s">
        <v>613</v>
      </c>
      <c r="B31" s="317">
        <v>361530.9</v>
      </c>
      <c r="C31" s="317">
        <v>16389.400000000001</v>
      </c>
      <c r="D31" s="317">
        <f t="shared" si="6"/>
        <v>377920.30000000005</v>
      </c>
      <c r="E31" s="317">
        <v>-482.4</v>
      </c>
      <c r="F31" s="317">
        <v>197961.1</v>
      </c>
      <c r="G31" s="317">
        <f t="shared" si="7"/>
        <v>197478.7</v>
      </c>
      <c r="H31" s="317">
        <v>3212.2</v>
      </c>
      <c r="I31" s="317">
        <v>27567.8</v>
      </c>
      <c r="J31" s="317">
        <f t="shared" si="8"/>
        <v>30780</v>
      </c>
      <c r="K31" s="317">
        <f>5516.2+1166292.7</f>
        <v>1171808.8999999999</v>
      </c>
      <c r="L31" s="317">
        <f t="shared" si="9"/>
        <v>1400067.5999999999</v>
      </c>
      <c r="M31" s="317">
        <v>-251712.5</v>
      </c>
      <c r="N31" s="317">
        <f t="shared" si="10"/>
        <v>1148355.0999999999</v>
      </c>
      <c r="O31" s="317">
        <f t="shared" si="11"/>
        <v>1526275.4</v>
      </c>
      <c r="P31" s="333" t="s">
        <v>613</v>
      </c>
      <c r="S31" s="815"/>
    </row>
    <row r="32" spans="1:19" s="175" customFormat="1" ht="12.6" customHeight="1">
      <c r="A32" s="152" t="s">
        <v>604</v>
      </c>
      <c r="B32" s="252">
        <v>366917.3</v>
      </c>
      <c r="C32" s="252">
        <v>15420.2</v>
      </c>
      <c r="D32" s="252">
        <f t="shared" si="6"/>
        <v>382337.5</v>
      </c>
      <c r="E32" s="252">
        <v>17285.5</v>
      </c>
      <c r="F32" s="252">
        <v>203740.4</v>
      </c>
      <c r="G32" s="252">
        <f t="shared" si="7"/>
        <v>221025.9</v>
      </c>
      <c r="H32" s="252">
        <v>3218.1</v>
      </c>
      <c r="I32" s="252">
        <v>26799.7</v>
      </c>
      <c r="J32" s="252">
        <f t="shared" si="8"/>
        <v>30017.8</v>
      </c>
      <c r="K32" s="252">
        <f>5838.7+1183016.7</f>
        <v>1188855.3999999999</v>
      </c>
      <c r="L32" s="252">
        <f t="shared" si="9"/>
        <v>1439899.0999999999</v>
      </c>
      <c r="M32" s="252">
        <v>-261341.3</v>
      </c>
      <c r="N32" s="252">
        <f t="shared" si="10"/>
        <v>1178557.7999999998</v>
      </c>
      <c r="O32" s="252">
        <f t="shared" si="11"/>
        <v>1560895.2999999998</v>
      </c>
      <c r="P32" s="228" t="s">
        <v>604</v>
      </c>
      <c r="Q32" s="815"/>
      <c r="S32" s="815"/>
    </row>
    <row r="33" spans="1:19" s="175" customFormat="1" ht="12.6" customHeight="1">
      <c r="A33" s="1176" t="s">
        <v>2166</v>
      </c>
      <c r="B33" s="365">
        <f>B45</f>
        <v>347757.7</v>
      </c>
      <c r="C33" s="365">
        <f t="shared" ref="C33:O33" si="12">C45</f>
        <v>16541.099999999999</v>
      </c>
      <c r="D33" s="365">
        <f t="shared" si="12"/>
        <v>364298.8</v>
      </c>
      <c r="E33" s="365">
        <f t="shared" si="12"/>
        <v>54930</v>
      </c>
      <c r="F33" s="365">
        <f t="shared" si="12"/>
        <v>228384.5</v>
      </c>
      <c r="G33" s="365">
        <f t="shared" si="12"/>
        <v>283314.5</v>
      </c>
      <c r="H33" s="365">
        <f t="shared" si="12"/>
        <v>3435.6</v>
      </c>
      <c r="I33" s="365">
        <f t="shared" si="12"/>
        <v>33763.300000000003</v>
      </c>
      <c r="J33" s="365">
        <f t="shared" si="12"/>
        <v>37198.9</v>
      </c>
      <c r="K33" s="365">
        <f t="shared" si="12"/>
        <v>1351235.5</v>
      </c>
      <c r="L33" s="365">
        <f t="shared" si="12"/>
        <v>1671748.9</v>
      </c>
      <c r="M33" s="365">
        <f t="shared" si="12"/>
        <v>-327925.40000000002</v>
      </c>
      <c r="N33" s="365">
        <f t="shared" si="12"/>
        <v>1343823.5</v>
      </c>
      <c r="O33" s="365">
        <f t="shared" si="12"/>
        <v>1708122.3</v>
      </c>
      <c r="P33" s="335" t="s">
        <v>2166</v>
      </c>
      <c r="Q33" s="815"/>
      <c r="S33" s="815"/>
    </row>
    <row r="34" spans="1:19" s="175" customFormat="1" ht="12.6" customHeight="1">
      <c r="A34" s="152" t="s">
        <v>606</v>
      </c>
      <c r="B34" s="252">
        <v>369407.2</v>
      </c>
      <c r="C34" s="252">
        <v>14441.4</v>
      </c>
      <c r="D34" s="252">
        <f t="shared" si="6"/>
        <v>383848.60000000003</v>
      </c>
      <c r="E34" s="252">
        <v>12440.4</v>
      </c>
      <c r="F34" s="252">
        <v>216694.5</v>
      </c>
      <c r="G34" s="252">
        <f t="shared" si="7"/>
        <v>229134.9</v>
      </c>
      <c r="H34" s="252">
        <v>3170.3</v>
      </c>
      <c r="I34" s="252">
        <v>26966.799999999999</v>
      </c>
      <c r="J34" s="252">
        <f t="shared" si="8"/>
        <v>30137.1</v>
      </c>
      <c r="K34" s="252">
        <f>5821.4+1181189.2</f>
        <v>1187010.5999999999</v>
      </c>
      <c r="L34" s="252">
        <f>G34+J34+K34</f>
        <v>1446282.5999999999</v>
      </c>
      <c r="M34" s="252">
        <v>-252085.2</v>
      </c>
      <c r="N34" s="252">
        <f t="shared" si="10"/>
        <v>1194197.3999999999</v>
      </c>
      <c r="O34" s="252">
        <f t="shared" si="11"/>
        <v>1578046</v>
      </c>
      <c r="P34" s="228" t="s">
        <v>606</v>
      </c>
      <c r="Q34" s="815"/>
      <c r="S34" s="815"/>
    </row>
    <row r="35" spans="1:19" s="175" customFormat="1" ht="12.6" customHeight="1">
      <c r="A35" s="340" t="s">
        <v>607</v>
      </c>
      <c r="B35" s="317">
        <v>370193.5</v>
      </c>
      <c r="C35" s="317">
        <v>17245.099999999999</v>
      </c>
      <c r="D35" s="317">
        <f t="shared" si="6"/>
        <v>387438.6</v>
      </c>
      <c r="E35" s="317">
        <v>6278.9</v>
      </c>
      <c r="F35" s="317">
        <v>218233.4</v>
      </c>
      <c r="G35" s="317">
        <f t="shared" si="7"/>
        <v>224512.3</v>
      </c>
      <c r="H35" s="317">
        <v>3347.7</v>
      </c>
      <c r="I35" s="317">
        <v>26879.599999999999</v>
      </c>
      <c r="J35" s="317">
        <f t="shared" si="8"/>
        <v>30227.3</v>
      </c>
      <c r="K35" s="317">
        <f>5879.3+1188512.1</f>
        <v>1194391.4000000001</v>
      </c>
      <c r="L35" s="317">
        <f t="shared" si="9"/>
        <v>1449131</v>
      </c>
      <c r="M35" s="317">
        <v>-257026.7</v>
      </c>
      <c r="N35" s="317">
        <f t="shared" si="10"/>
        <v>1192104.3</v>
      </c>
      <c r="O35" s="317">
        <f t="shared" si="11"/>
        <v>1579542.9</v>
      </c>
      <c r="P35" s="333" t="s">
        <v>607</v>
      </c>
      <c r="Q35" s="815"/>
      <c r="S35" s="815"/>
    </row>
    <row r="36" spans="1:19" s="175" customFormat="1" ht="12.6" customHeight="1">
      <c r="A36" s="152" t="s">
        <v>601</v>
      </c>
      <c r="B36" s="252">
        <v>361730.3</v>
      </c>
      <c r="C36" s="252">
        <v>15858.6</v>
      </c>
      <c r="D36" s="252">
        <f t="shared" si="6"/>
        <v>377588.89999999997</v>
      </c>
      <c r="E36" s="252">
        <v>7273.4</v>
      </c>
      <c r="F36" s="252">
        <v>220271.5</v>
      </c>
      <c r="G36" s="252">
        <f t="shared" si="7"/>
        <v>227544.9</v>
      </c>
      <c r="H36" s="252">
        <v>3303.2</v>
      </c>
      <c r="I36" s="252">
        <v>27333</v>
      </c>
      <c r="J36" s="252">
        <f t="shared" si="8"/>
        <v>30636.2</v>
      </c>
      <c r="K36" s="252">
        <f>5829.4+1204892.7</f>
        <v>1210722.0999999999</v>
      </c>
      <c r="L36" s="252">
        <f t="shared" si="9"/>
        <v>1468903.2</v>
      </c>
      <c r="M36" s="252">
        <v>-260675.20000000001</v>
      </c>
      <c r="N36" s="252">
        <f t="shared" si="10"/>
        <v>1208228</v>
      </c>
      <c r="O36" s="252">
        <f t="shared" si="11"/>
        <v>1585816.9</v>
      </c>
      <c r="P36" s="228" t="s">
        <v>601</v>
      </c>
      <c r="Q36" s="815"/>
      <c r="S36" s="815"/>
    </row>
    <row r="37" spans="1:19" s="175" customFormat="1" ht="12.6" customHeight="1">
      <c r="A37" s="340" t="s">
        <v>608</v>
      </c>
      <c r="B37" s="317">
        <v>358585.9</v>
      </c>
      <c r="C37" s="317">
        <v>18278.8</v>
      </c>
      <c r="D37" s="317">
        <f>B37+C37</f>
        <v>376864.7</v>
      </c>
      <c r="E37" s="317">
        <v>8393.7000000000007</v>
      </c>
      <c r="F37" s="317">
        <v>222587.8</v>
      </c>
      <c r="G37" s="317">
        <f t="shared" si="7"/>
        <v>230981.5</v>
      </c>
      <c r="H37" s="317">
        <v>3298.4</v>
      </c>
      <c r="I37" s="317">
        <v>28288.7</v>
      </c>
      <c r="J37" s="317">
        <f>H37+I37</f>
        <v>31587.100000000002</v>
      </c>
      <c r="K37" s="317">
        <f>5762.2+1213774.6</f>
        <v>1219536.8</v>
      </c>
      <c r="L37" s="317">
        <f t="shared" si="9"/>
        <v>1482105.4</v>
      </c>
      <c r="M37" s="317">
        <v>-264509.7</v>
      </c>
      <c r="N37" s="317">
        <f t="shared" si="10"/>
        <v>1217595.7</v>
      </c>
      <c r="O37" s="317">
        <f t="shared" si="11"/>
        <v>1594460.4</v>
      </c>
      <c r="P37" s="333" t="s">
        <v>608</v>
      </c>
      <c r="Q37" s="815"/>
      <c r="R37" s="815"/>
    </row>
    <row r="38" spans="1:19" s="175" customFormat="1" ht="12.6" customHeight="1">
      <c r="A38" s="152" t="s">
        <v>609</v>
      </c>
      <c r="B38" s="252">
        <v>352218.6</v>
      </c>
      <c r="C38" s="252">
        <v>13243.3</v>
      </c>
      <c r="D38" s="252">
        <f>B38+C38</f>
        <v>365461.89999999997</v>
      </c>
      <c r="E38" s="252">
        <v>17488.099999999999</v>
      </c>
      <c r="F38" s="252">
        <v>222594.1</v>
      </c>
      <c r="G38" s="252">
        <f t="shared" si="7"/>
        <v>240082.2</v>
      </c>
      <c r="H38" s="252">
        <v>3267.9</v>
      </c>
      <c r="I38" s="252">
        <v>29814.400000000001</v>
      </c>
      <c r="J38" s="252">
        <f t="shared" si="8"/>
        <v>33082.300000000003</v>
      </c>
      <c r="K38" s="252">
        <f>5720.2+1228525.5</f>
        <v>1234245.7</v>
      </c>
      <c r="L38" s="252">
        <f t="shared" si="9"/>
        <v>1507410.2</v>
      </c>
      <c r="M38" s="252">
        <v>-270339.8</v>
      </c>
      <c r="N38" s="252">
        <f t="shared" si="10"/>
        <v>1237070.3999999999</v>
      </c>
      <c r="O38" s="252">
        <f t="shared" si="11"/>
        <v>1602532.2999999998</v>
      </c>
      <c r="P38" s="228" t="s">
        <v>609</v>
      </c>
      <c r="Q38" s="815"/>
      <c r="R38" s="815"/>
    </row>
    <row r="39" spans="1:19" s="175" customFormat="1" ht="12.6" customHeight="1">
      <c r="A39" s="340" t="s">
        <v>602</v>
      </c>
      <c r="B39" s="317">
        <v>354607.3</v>
      </c>
      <c r="C39" s="317">
        <v>14548</v>
      </c>
      <c r="D39" s="317">
        <f t="shared" si="6"/>
        <v>369155.3</v>
      </c>
      <c r="E39" s="317">
        <v>5463.5</v>
      </c>
      <c r="F39" s="317">
        <v>229080.6</v>
      </c>
      <c r="G39" s="317">
        <f t="shared" si="7"/>
        <v>234544.1</v>
      </c>
      <c r="H39" s="317">
        <v>3146.3</v>
      </c>
      <c r="I39" s="317">
        <v>31250.1</v>
      </c>
      <c r="J39" s="317">
        <f t="shared" si="8"/>
        <v>34396.400000000001</v>
      </c>
      <c r="K39" s="317">
        <f>5697.2+1257550.3</f>
        <v>1263247.5</v>
      </c>
      <c r="L39" s="317">
        <f t="shared" ref="L39:L44" si="13">G39+J39+K39</f>
        <v>1532188</v>
      </c>
      <c r="M39" s="317">
        <v>-280708.3</v>
      </c>
      <c r="N39" s="317">
        <f t="shared" si="10"/>
        <v>1251479.7</v>
      </c>
      <c r="O39" s="317">
        <f t="shared" si="11"/>
        <v>1620635</v>
      </c>
      <c r="P39" s="333" t="s">
        <v>602</v>
      </c>
      <c r="Q39" s="815"/>
      <c r="R39" s="815"/>
    </row>
    <row r="40" spans="1:19" s="175" customFormat="1" ht="12.6" customHeight="1">
      <c r="A40" s="152" t="s">
        <v>610</v>
      </c>
      <c r="B40" s="252">
        <v>351964.2</v>
      </c>
      <c r="C40" s="252">
        <v>13279.7</v>
      </c>
      <c r="D40" s="252">
        <f t="shared" si="6"/>
        <v>365243.9</v>
      </c>
      <c r="E40" s="252">
        <v>9036.5</v>
      </c>
      <c r="F40" s="252">
        <v>223039.5</v>
      </c>
      <c r="G40" s="252">
        <f t="shared" si="7"/>
        <v>232076</v>
      </c>
      <c r="H40" s="252">
        <v>3478.9</v>
      </c>
      <c r="I40" s="252">
        <v>32899.199999999997</v>
      </c>
      <c r="J40" s="252">
        <f t="shared" si="8"/>
        <v>36378.1</v>
      </c>
      <c r="K40" s="252">
        <f>5733.5+1260523.9</f>
        <v>1266257.3999999999</v>
      </c>
      <c r="L40" s="252">
        <f t="shared" si="13"/>
        <v>1534711.5</v>
      </c>
      <c r="M40" s="252">
        <v>-285835.09999999998</v>
      </c>
      <c r="N40" s="252">
        <f t="shared" si="10"/>
        <v>1248876.3999999999</v>
      </c>
      <c r="O40" s="252">
        <f t="shared" si="11"/>
        <v>1614120.2999999998</v>
      </c>
      <c r="P40" s="228" t="s">
        <v>610</v>
      </c>
      <c r="Q40" s="815"/>
      <c r="R40" s="815"/>
    </row>
    <row r="41" spans="1:19" s="175" customFormat="1" ht="12.6" customHeight="1">
      <c r="A41" s="340" t="s">
        <v>611</v>
      </c>
      <c r="B41" s="317">
        <v>351813.1</v>
      </c>
      <c r="C41" s="317">
        <v>10853.3</v>
      </c>
      <c r="D41" s="317">
        <f t="shared" si="6"/>
        <v>362666.39999999997</v>
      </c>
      <c r="E41" s="317">
        <v>8058.5</v>
      </c>
      <c r="F41" s="317">
        <v>223409.1</v>
      </c>
      <c r="G41" s="317">
        <f t="shared" si="7"/>
        <v>231467.6</v>
      </c>
      <c r="H41" s="317">
        <v>3485.2</v>
      </c>
      <c r="I41" s="317">
        <v>32431.7</v>
      </c>
      <c r="J41" s="317">
        <f t="shared" si="8"/>
        <v>35916.9</v>
      </c>
      <c r="K41" s="317">
        <f>5766.6+1273089.3</f>
        <v>1278855.9000000001</v>
      </c>
      <c r="L41" s="317">
        <f t="shared" si="13"/>
        <v>1546240.4000000001</v>
      </c>
      <c r="M41" s="317">
        <v>-287970.09999999998</v>
      </c>
      <c r="N41" s="317">
        <f t="shared" si="10"/>
        <v>1258270.3000000003</v>
      </c>
      <c r="O41" s="317">
        <f t="shared" si="11"/>
        <v>1620936.7000000002</v>
      </c>
      <c r="P41" s="333" t="s">
        <v>611</v>
      </c>
      <c r="Q41" s="815"/>
      <c r="R41" s="815"/>
    </row>
    <row r="42" spans="1:19" s="175" customFormat="1" ht="12.6" customHeight="1">
      <c r="A42" s="152" t="s">
        <v>603</v>
      </c>
      <c r="B42" s="252">
        <v>344756</v>
      </c>
      <c r="C42" s="252">
        <v>11645.3</v>
      </c>
      <c r="D42" s="252">
        <f t="shared" si="6"/>
        <v>356401.3</v>
      </c>
      <c r="E42" s="252">
        <v>12804.3</v>
      </c>
      <c r="F42" s="252">
        <v>222689.2</v>
      </c>
      <c r="G42" s="252">
        <f t="shared" si="7"/>
        <v>235493.5</v>
      </c>
      <c r="H42" s="252">
        <v>3488.5</v>
      </c>
      <c r="I42" s="252">
        <v>32290.3</v>
      </c>
      <c r="J42" s="252">
        <f t="shared" si="8"/>
        <v>35778.800000000003</v>
      </c>
      <c r="K42" s="252">
        <f>5784.3+1285654.3</f>
        <v>1291438.6000000001</v>
      </c>
      <c r="L42" s="252">
        <f>G42+J42+K42</f>
        <v>1562710.9000000001</v>
      </c>
      <c r="M42" s="252">
        <v>-289205.90000000002</v>
      </c>
      <c r="N42" s="252">
        <f t="shared" si="10"/>
        <v>1273505</v>
      </c>
      <c r="O42" s="252">
        <f t="shared" si="11"/>
        <v>1629906.3</v>
      </c>
      <c r="P42" s="228" t="s">
        <v>603</v>
      </c>
      <c r="Q42" s="815"/>
      <c r="R42" s="815"/>
    </row>
    <row r="43" spans="1:19" s="175" customFormat="1" ht="12.6" customHeight="1">
      <c r="A43" s="340" t="s">
        <v>612</v>
      </c>
      <c r="B43" s="317">
        <v>337440.8</v>
      </c>
      <c r="C43" s="317">
        <v>13395.8</v>
      </c>
      <c r="D43" s="317">
        <f t="shared" si="6"/>
        <v>350836.6</v>
      </c>
      <c r="E43" s="317">
        <v>32555.3</v>
      </c>
      <c r="F43" s="317">
        <v>221973.9</v>
      </c>
      <c r="G43" s="317">
        <f t="shared" si="7"/>
        <v>254529.19999999998</v>
      </c>
      <c r="H43" s="317">
        <v>3494.9</v>
      </c>
      <c r="I43" s="317">
        <v>32414.6</v>
      </c>
      <c r="J43" s="317">
        <f t="shared" si="8"/>
        <v>35909.5</v>
      </c>
      <c r="K43" s="317">
        <f>5897.9+1303732.9</f>
        <v>1309630.7999999998</v>
      </c>
      <c r="L43" s="317">
        <f t="shared" si="13"/>
        <v>1600069.4999999998</v>
      </c>
      <c r="M43" s="317">
        <v>-287201.40000000002</v>
      </c>
      <c r="N43" s="317">
        <f t="shared" si="10"/>
        <v>1312868.0999999996</v>
      </c>
      <c r="O43" s="317">
        <f t="shared" si="11"/>
        <v>1663704.6999999997</v>
      </c>
      <c r="P43" s="333" t="s">
        <v>612</v>
      </c>
      <c r="Q43" s="815"/>
      <c r="R43" s="815"/>
    </row>
    <row r="44" spans="1:19" s="175" customFormat="1" ht="12.6" customHeight="1">
      <c r="A44" s="152" t="s">
        <v>613</v>
      </c>
      <c r="B44" s="252">
        <v>343397.9</v>
      </c>
      <c r="C44" s="252">
        <v>11397.9</v>
      </c>
      <c r="D44" s="252">
        <f t="shared" si="6"/>
        <v>354795.80000000005</v>
      </c>
      <c r="E44" s="252">
        <v>28363.5</v>
      </c>
      <c r="F44" s="252">
        <v>222820.9</v>
      </c>
      <c r="G44" s="252">
        <f t="shared" si="7"/>
        <v>251184.4</v>
      </c>
      <c r="H44" s="252">
        <v>3429.6</v>
      </c>
      <c r="I44" s="252">
        <v>33450.5</v>
      </c>
      <c r="J44" s="252">
        <f t="shared" si="8"/>
        <v>36880.1</v>
      </c>
      <c r="K44" s="252">
        <f>5840+1317642.4</f>
        <v>1323482.3999999999</v>
      </c>
      <c r="L44" s="252">
        <f t="shared" si="13"/>
        <v>1611546.9</v>
      </c>
      <c r="M44" s="252">
        <v>-303705.59999999998</v>
      </c>
      <c r="N44" s="252">
        <f t="shared" si="10"/>
        <v>1307841.2999999998</v>
      </c>
      <c r="O44" s="252">
        <f t="shared" si="11"/>
        <v>1662637.0999999999</v>
      </c>
      <c r="P44" s="228" t="s">
        <v>613</v>
      </c>
      <c r="Q44" s="815"/>
      <c r="R44" s="815"/>
    </row>
    <row r="45" spans="1:19" s="175" customFormat="1" ht="12.6" customHeight="1">
      <c r="A45" s="340" t="s">
        <v>604</v>
      </c>
      <c r="B45" s="317">
        <v>347757.7</v>
      </c>
      <c r="C45" s="317">
        <v>16541.099999999999</v>
      </c>
      <c r="D45" s="317">
        <f t="shared" si="6"/>
        <v>364298.8</v>
      </c>
      <c r="E45" s="317">
        <v>54930</v>
      </c>
      <c r="F45" s="317">
        <v>228384.5</v>
      </c>
      <c r="G45" s="317">
        <f t="shared" si="7"/>
        <v>283314.5</v>
      </c>
      <c r="H45" s="317">
        <v>3435.6</v>
      </c>
      <c r="I45" s="317">
        <v>33763.300000000003</v>
      </c>
      <c r="J45" s="317">
        <f t="shared" si="8"/>
        <v>37198.9</v>
      </c>
      <c r="K45" s="317">
        <f>5935.9+1345299.6</f>
        <v>1351235.5</v>
      </c>
      <c r="L45" s="317">
        <f>G45+J45+K45</f>
        <v>1671748.9</v>
      </c>
      <c r="M45" s="317">
        <v>-327925.40000000002</v>
      </c>
      <c r="N45" s="317">
        <f t="shared" si="10"/>
        <v>1343823.5</v>
      </c>
      <c r="O45" s="317">
        <f>D45+N45</f>
        <v>1708122.3</v>
      </c>
      <c r="P45" s="333" t="s">
        <v>604</v>
      </c>
      <c r="Q45" s="815"/>
      <c r="R45" s="815"/>
    </row>
    <row r="46" spans="1:19" s="175" customFormat="1" ht="12.6" customHeight="1">
      <c r="A46" s="107" t="s">
        <v>2482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516" t="s">
        <v>2482</v>
      </c>
      <c r="Q46" s="815"/>
      <c r="R46" s="815"/>
    </row>
    <row r="47" spans="1:19" s="175" customFormat="1" ht="12.6" customHeight="1">
      <c r="A47" s="340" t="s">
        <v>606</v>
      </c>
      <c r="B47" s="317">
        <v>341807.3</v>
      </c>
      <c r="C47" s="317">
        <v>15759.5</v>
      </c>
      <c r="D47" s="317">
        <f t="shared" si="6"/>
        <v>357566.8</v>
      </c>
      <c r="E47" s="317">
        <v>52719.199999999997</v>
      </c>
      <c r="F47" s="317">
        <v>229042.5</v>
      </c>
      <c r="G47" s="317">
        <f t="shared" si="7"/>
        <v>281761.7</v>
      </c>
      <c r="H47" s="317">
        <v>3428.2</v>
      </c>
      <c r="I47" s="317">
        <v>34708</v>
      </c>
      <c r="J47" s="317">
        <f t="shared" si="8"/>
        <v>38136.199999999997</v>
      </c>
      <c r="K47" s="317">
        <f>5937.6+1346628.8</f>
        <v>1352566.4000000001</v>
      </c>
      <c r="L47" s="317">
        <f>G47+J47+K47</f>
        <v>1672464.3000000003</v>
      </c>
      <c r="M47" s="317">
        <v>-322100.7</v>
      </c>
      <c r="N47" s="317">
        <f t="shared" si="10"/>
        <v>1350363.6000000003</v>
      </c>
      <c r="O47" s="317">
        <f t="shared" si="11"/>
        <v>1707930.4000000004</v>
      </c>
      <c r="P47" s="333" t="s">
        <v>606</v>
      </c>
      <c r="Q47" s="815"/>
      <c r="R47" s="815"/>
    </row>
    <row r="48" spans="1:19" s="175" customFormat="1" ht="12.6" customHeight="1">
      <c r="A48" s="152" t="s">
        <v>607</v>
      </c>
      <c r="B48" s="252">
        <v>323765.90000000002</v>
      </c>
      <c r="C48" s="252">
        <v>16646.2</v>
      </c>
      <c r="D48" s="252">
        <f t="shared" si="6"/>
        <v>340412.10000000003</v>
      </c>
      <c r="E48" s="252">
        <v>61832.1</v>
      </c>
      <c r="F48" s="252">
        <v>226595.3</v>
      </c>
      <c r="G48" s="252">
        <f t="shared" si="7"/>
        <v>288427.39999999997</v>
      </c>
      <c r="H48" s="252">
        <v>3426.3</v>
      </c>
      <c r="I48" s="252">
        <v>35190.400000000001</v>
      </c>
      <c r="J48" s="252">
        <f t="shared" si="8"/>
        <v>38616.700000000004</v>
      </c>
      <c r="K48" s="252">
        <f>5989+1356488.9</f>
        <v>1362477.9</v>
      </c>
      <c r="L48" s="252">
        <f>G48+J48+K48</f>
        <v>1689522</v>
      </c>
      <c r="M48" s="252">
        <v>-319120</v>
      </c>
      <c r="N48" s="252">
        <f t="shared" si="10"/>
        <v>1370402</v>
      </c>
      <c r="O48" s="252">
        <f t="shared" si="11"/>
        <v>1710814.1</v>
      </c>
      <c r="P48" s="228" t="s">
        <v>607</v>
      </c>
      <c r="Q48" s="815"/>
      <c r="R48" s="815"/>
    </row>
    <row r="49" spans="1:18" s="175" customFormat="1" ht="12.6" customHeight="1">
      <c r="A49" s="340" t="s">
        <v>601</v>
      </c>
      <c r="B49" s="317">
        <v>318925.90000000002</v>
      </c>
      <c r="C49" s="317">
        <v>16403.7</v>
      </c>
      <c r="D49" s="317">
        <f t="shared" si="6"/>
        <v>335329.60000000003</v>
      </c>
      <c r="E49" s="317">
        <v>71663.399999999994</v>
      </c>
      <c r="F49" s="317">
        <v>220828.7</v>
      </c>
      <c r="G49" s="317">
        <f t="shared" si="7"/>
        <v>292492.09999999998</v>
      </c>
      <c r="H49" s="317">
        <v>3632.8</v>
      </c>
      <c r="I49" s="317">
        <v>34534.699999999997</v>
      </c>
      <c r="J49" s="317">
        <f t="shared" si="8"/>
        <v>38167.5</v>
      </c>
      <c r="K49" s="317">
        <f>6018.9+1373394.3</f>
        <v>1379413.2</v>
      </c>
      <c r="L49" s="317">
        <f>G49+J49+K49</f>
        <v>1710072.7999999998</v>
      </c>
      <c r="M49" s="317">
        <v>-322574.90000000002</v>
      </c>
      <c r="N49" s="317">
        <f t="shared" si="10"/>
        <v>1387497.9</v>
      </c>
      <c r="O49" s="317">
        <f t="shared" si="11"/>
        <v>1722827.5</v>
      </c>
      <c r="P49" s="333" t="s">
        <v>601</v>
      </c>
      <c r="Q49" s="815"/>
      <c r="R49" s="815"/>
    </row>
    <row r="50" spans="1:18" s="175" customFormat="1" ht="12.6" customHeight="1" thickBot="1">
      <c r="A50" s="1643" t="s">
        <v>608</v>
      </c>
      <c r="B50" s="692">
        <v>309398.3</v>
      </c>
      <c r="C50" s="692">
        <v>16736.099999999999</v>
      </c>
      <c r="D50" s="692">
        <f t="shared" si="6"/>
        <v>326134.39999999997</v>
      </c>
      <c r="E50" s="692">
        <v>83478.7</v>
      </c>
      <c r="F50" s="692">
        <v>221666.6</v>
      </c>
      <c r="G50" s="692">
        <f t="shared" si="7"/>
        <v>305145.3</v>
      </c>
      <c r="H50" s="692">
        <v>3631.7</v>
      </c>
      <c r="I50" s="692">
        <v>35160.5</v>
      </c>
      <c r="J50" s="692">
        <f t="shared" si="8"/>
        <v>38792.199999999997</v>
      </c>
      <c r="K50" s="692">
        <f>6147.8+1383000.6</f>
        <v>1389148.4000000001</v>
      </c>
      <c r="L50" s="692">
        <f>G50+J50+K50</f>
        <v>1733085.9000000001</v>
      </c>
      <c r="M50" s="692">
        <v>-332451.09999999998</v>
      </c>
      <c r="N50" s="692">
        <f t="shared" si="10"/>
        <v>1400634.8000000003</v>
      </c>
      <c r="O50" s="692">
        <f t="shared" si="11"/>
        <v>1726769.2000000002</v>
      </c>
      <c r="P50" s="1535" t="s">
        <v>608</v>
      </c>
      <c r="Q50" s="815"/>
      <c r="R50" s="815"/>
    </row>
    <row r="51" spans="1:18" ht="10.5" customHeight="1">
      <c r="A51" s="621" t="s">
        <v>204</v>
      </c>
      <c r="B51" s="1881" t="s">
        <v>1483</v>
      </c>
      <c r="C51" s="1881"/>
      <c r="D51" s="1881"/>
      <c r="E51" s="1881"/>
      <c r="F51" s="1881"/>
      <c r="G51" s="1881"/>
      <c r="H51" s="1881"/>
      <c r="I51" s="621" t="s">
        <v>206</v>
      </c>
      <c r="J51" s="1881" t="s">
        <v>1132</v>
      </c>
      <c r="K51" s="1881"/>
      <c r="L51" s="1881"/>
      <c r="M51" s="1881"/>
      <c r="N51" s="1881"/>
      <c r="O51" s="1881"/>
      <c r="P51" s="1881"/>
      <c r="R51" s="41"/>
    </row>
    <row r="52" spans="1:18" ht="10.5" customHeight="1">
      <c r="A52" s="40"/>
      <c r="B52" s="1884" t="s">
        <v>1450</v>
      </c>
      <c r="C52" s="1884"/>
      <c r="D52" s="1884"/>
      <c r="E52" s="761"/>
      <c r="F52" s="1501"/>
      <c r="G52" s="1501" t="s">
        <v>1469</v>
      </c>
      <c r="H52" s="761"/>
      <c r="J52" s="1885" t="s">
        <v>1363</v>
      </c>
      <c r="K52" s="1885"/>
      <c r="L52" s="1885"/>
      <c r="M52" s="1885"/>
      <c r="N52" s="1885"/>
      <c r="O52" s="1885"/>
      <c r="P52" s="1885"/>
    </row>
    <row r="53" spans="1:18" ht="10.5" customHeight="1">
      <c r="B53" s="1124"/>
      <c r="C53" s="1124"/>
      <c r="D53" s="1124"/>
      <c r="E53" s="1124"/>
      <c r="F53" s="1532"/>
      <c r="G53" s="1532"/>
      <c r="H53" s="1103"/>
      <c r="I53" s="49" t="s">
        <v>205</v>
      </c>
      <c r="J53" s="1890" t="s">
        <v>1365</v>
      </c>
      <c r="K53" s="1890"/>
      <c r="L53" s="1890"/>
      <c r="M53" s="1890"/>
      <c r="N53" s="1890"/>
      <c r="Q53" s="177"/>
    </row>
    <row r="54" spans="1:18" ht="12.75" customHeight="1">
      <c r="F54" s="1532"/>
      <c r="G54" s="1532"/>
      <c r="J54" s="41"/>
      <c r="M54" s="41"/>
      <c r="N54" s="41"/>
      <c r="O54" s="41"/>
      <c r="P54" s="41"/>
      <c r="Q54" s="532"/>
    </row>
    <row r="55" spans="1:18" ht="12.75" customHeight="1">
      <c r="F55" s="1532"/>
      <c r="G55" s="41"/>
      <c r="J55" s="41"/>
      <c r="Q55" s="177"/>
    </row>
    <row r="56" spans="1:18" ht="12.75" customHeight="1">
      <c r="G56" s="41"/>
      <c r="H56" s="41"/>
      <c r="J56" s="41"/>
      <c r="Q56" s="177"/>
    </row>
    <row r="57" spans="1:18">
      <c r="G57" s="41"/>
      <c r="P57" s="532"/>
      <c r="Q57" s="177"/>
    </row>
    <row r="58" spans="1:18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532"/>
    </row>
    <row r="59" spans="1:18">
      <c r="D59" s="41"/>
      <c r="E59" s="90"/>
      <c r="H59" s="41"/>
      <c r="I59" s="90"/>
      <c r="J59" s="41"/>
      <c r="K59" s="41"/>
      <c r="L59" s="90"/>
      <c r="M59" s="90"/>
      <c r="O59" s="532"/>
      <c r="P59" s="532"/>
    </row>
    <row r="60" spans="1:18">
      <c r="D60" s="41"/>
      <c r="E60" s="90"/>
      <c r="J60" s="41"/>
      <c r="K60" s="90"/>
      <c r="L60" s="41"/>
      <c r="O60" s="189"/>
      <c r="P60" s="177"/>
    </row>
    <row r="61" spans="1:18">
      <c r="D61" s="90"/>
      <c r="H61" s="41"/>
      <c r="I61" s="41"/>
      <c r="K61" s="41"/>
      <c r="L61" s="90"/>
      <c r="M61" s="90"/>
    </row>
    <row r="62" spans="1:18">
      <c r="J62" s="41"/>
      <c r="K62" s="90"/>
      <c r="L62" s="41"/>
      <c r="M62" s="90"/>
    </row>
    <row r="63" spans="1:18">
      <c r="J63" s="41"/>
    </row>
    <row r="65" spans="2:16">
      <c r="L65" s="41"/>
      <c r="M65" s="90"/>
    </row>
    <row r="67" spans="2:16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</row>
    <row r="68" spans="2:16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</row>
    <row r="69" spans="2:16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O1:P1"/>
    <mergeCell ref="O2:P2"/>
    <mergeCell ref="O3:O7"/>
    <mergeCell ref="G1:H1"/>
    <mergeCell ref="M3:M7"/>
    <mergeCell ref="I1:J1"/>
    <mergeCell ref="N3:N7"/>
    <mergeCell ref="J53:N53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1:H51"/>
    <mergeCell ref="C4:C7"/>
    <mergeCell ref="J51:P51"/>
    <mergeCell ref="B52:D52"/>
    <mergeCell ref="J52:P52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45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7"/>
  <sheetViews>
    <sheetView zoomScale="130" zoomScaleNormal="130" workbookViewId="0">
      <pane xSplit="1" ySplit="5" topLeftCell="D41" activePane="bottomRight" state="frozen"/>
      <selection activeCell="F85" sqref="F85"/>
      <selection pane="topRight" activeCell="F85" sqref="F85"/>
      <selection pane="bottomLeft" activeCell="F85" sqref="F85"/>
      <selection pane="bottomRight" activeCell="M44" sqref="M44:M47"/>
    </sheetView>
  </sheetViews>
  <sheetFormatPr defaultColWidth="9.140625" defaultRowHeight="12.75"/>
  <cols>
    <col min="1" max="1" width="11.140625" style="478" customWidth="1"/>
    <col min="2" max="2" width="13.7109375" style="478" customWidth="1"/>
    <col min="3" max="3" width="12.85546875" style="478" customWidth="1"/>
    <col min="4" max="4" width="13" style="478" customWidth="1"/>
    <col min="5" max="5" width="13.42578125" style="478" customWidth="1"/>
    <col min="6" max="6" width="13" style="478" customWidth="1"/>
    <col min="7" max="8" width="12.7109375" style="478" customWidth="1"/>
    <col min="9" max="10" width="13.28515625" style="478" customWidth="1"/>
    <col min="11" max="11" width="14.42578125" style="478" customWidth="1"/>
    <col min="12" max="12" width="11.85546875" style="478" customWidth="1"/>
    <col min="13" max="13" width="10.42578125" style="478" bestFit="1" customWidth="1"/>
    <col min="14" max="14" width="10.7109375" style="478" customWidth="1"/>
    <col min="15" max="15" width="11" style="478" customWidth="1"/>
    <col min="16" max="16384" width="9.140625" style="478"/>
  </cols>
  <sheetData>
    <row r="1" spans="1:12" s="179" customFormat="1" ht="15.75">
      <c r="D1" s="1910" t="s">
        <v>883</v>
      </c>
      <c r="E1" s="1910"/>
      <c r="F1" s="1910"/>
      <c r="G1" s="1917" t="s">
        <v>477</v>
      </c>
      <c r="H1" s="1917"/>
      <c r="I1" s="1917"/>
      <c r="K1" s="1910" t="s">
        <v>360</v>
      </c>
      <c r="L1" s="1910"/>
    </row>
    <row r="2" spans="1:12" s="182" customFormat="1" ht="10.5" customHeight="1">
      <c r="F2" s="1426"/>
      <c r="K2" s="1918" t="s">
        <v>229</v>
      </c>
      <c r="L2" s="1918"/>
    </row>
    <row r="3" spans="1:12" s="184" customFormat="1" ht="22.5" customHeight="1">
      <c r="A3" s="1914" t="s">
        <v>993</v>
      </c>
      <c r="B3" s="1920" t="s">
        <v>207</v>
      </c>
      <c r="C3" s="1785" t="s">
        <v>996</v>
      </c>
      <c r="D3" s="1911" t="s">
        <v>425</v>
      </c>
      <c r="E3" s="1912"/>
      <c r="F3" s="1913"/>
      <c r="G3" s="1911" t="s">
        <v>427</v>
      </c>
      <c r="H3" s="1912"/>
      <c r="I3" s="1913"/>
      <c r="J3" s="1785" t="s">
        <v>846</v>
      </c>
      <c r="K3" s="1785" t="s">
        <v>995</v>
      </c>
      <c r="L3" s="1914" t="s">
        <v>994</v>
      </c>
    </row>
    <row r="4" spans="1:12" s="184" customFormat="1" ht="22.5" customHeight="1">
      <c r="A4" s="1915"/>
      <c r="B4" s="1829"/>
      <c r="C4" s="1786"/>
      <c r="D4" s="1425" t="s">
        <v>426</v>
      </c>
      <c r="E4" s="1425" t="s">
        <v>524</v>
      </c>
      <c r="F4" s="1425" t="s">
        <v>523</v>
      </c>
      <c r="G4" s="1425" t="s">
        <v>426</v>
      </c>
      <c r="H4" s="1425" t="s">
        <v>524</v>
      </c>
      <c r="I4" s="1425" t="s">
        <v>523</v>
      </c>
      <c r="J4" s="1786"/>
      <c r="K4" s="1786"/>
      <c r="L4" s="1915"/>
    </row>
    <row r="5" spans="1:12" s="561" customFormat="1" ht="12" customHeight="1">
      <c r="A5" s="1916"/>
      <c r="B5" s="1427">
        <v>1</v>
      </c>
      <c r="C5" s="560">
        <v>2</v>
      </c>
      <c r="D5" s="560">
        <v>3</v>
      </c>
      <c r="E5" s="560">
        <v>4</v>
      </c>
      <c r="F5" s="560" t="s">
        <v>208</v>
      </c>
      <c r="G5" s="560">
        <v>6</v>
      </c>
      <c r="H5" s="560">
        <v>7</v>
      </c>
      <c r="I5" s="560" t="s">
        <v>209</v>
      </c>
      <c r="J5" s="560">
        <v>9</v>
      </c>
      <c r="K5" s="560" t="s">
        <v>428</v>
      </c>
      <c r="L5" s="1916"/>
    </row>
    <row r="6" spans="1:12" ht="12.75" customHeight="1">
      <c r="A6" s="1464" t="s">
        <v>81</v>
      </c>
      <c r="B6" s="503">
        <v>54252.9</v>
      </c>
      <c r="C6" s="503">
        <v>12.3</v>
      </c>
      <c r="D6" s="503">
        <v>1765.4</v>
      </c>
      <c r="E6" s="503">
        <v>9474.7999999999993</v>
      </c>
      <c r="F6" s="541">
        <f t="shared" ref="F6:F7" si="0">D6+E6</f>
        <v>11240.199999999999</v>
      </c>
      <c r="G6" s="503">
        <v>11036.2</v>
      </c>
      <c r="H6" s="503">
        <v>205147.4</v>
      </c>
      <c r="I6" s="541">
        <f t="shared" ref="I6:I7" si="1">G6+H6</f>
        <v>216183.6</v>
      </c>
      <c r="J6" s="503">
        <v>56138.6</v>
      </c>
      <c r="K6" s="541">
        <f t="shared" ref="K6:K7" si="2">B6+C6+F6+I6+J6</f>
        <v>337827.6</v>
      </c>
      <c r="L6" s="1525" t="s">
        <v>81</v>
      </c>
    </row>
    <row r="7" spans="1:12" ht="12.75" customHeight="1">
      <c r="A7" s="1524" t="s">
        <v>199</v>
      </c>
      <c r="B7" s="508">
        <v>73227.899999999994</v>
      </c>
      <c r="C7" s="508">
        <v>9.4</v>
      </c>
      <c r="D7" s="508">
        <v>2162.1</v>
      </c>
      <c r="E7" s="508">
        <v>9681.2999999999993</v>
      </c>
      <c r="F7" s="553">
        <f t="shared" si="0"/>
        <v>11843.4</v>
      </c>
      <c r="G7" s="508">
        <v>14780.8</v>
      </c>
      <c r="H7" s="508">
        <v>261545.2</v>
      </c>
      <c r="I7" s="553">
        <f t="shared" si="1"/>
        <v>276326</v>
      </c>
      <c r="J7" s="508">
        <v>69486.3</v>
      </c>
      <c r="K7" s="553">
        <f t="shared" si="2"/>
        <v>430892.99999999994</v>
      </c>
      <c r="L7" s="1526" t="s">
        <v>199</v>
      </c>
    </row>
    <row r="8" spans="1:12" ht="12.75" customHeight="1">
      <c r="A8" s="1464" t="s">
        <v>792</v>
      </c>
      <c r="B8" s="503">
        <v>91728.8</v>
      </c>
      <c r="C8" s="503">
        <v>5.8</v>
      </c>
      <c r="D8" s="503">
        <v>2558.6</v>
      </c>
      <c r="E8" s="503">
        <v>11158.6</v>
      </c>
      <c r="F8" s="541">
        <v>13717.2</v>
      </c>
      <c r="G8" s="503">
        <v>12777.7</v>
      </c>
      <c r="H8" s="503">
        <v>320176.90000000002</v>
      </c>
      <c r="I8" s="541">
        <v>332954.60000000003</v>
      </c>
      <c r="J8" s="503">
        <v>76566.2</v>
      </c>
      <c r="K8" s="541">
        <v>514972.60000000003</v>
      </c>
      <c r="L8" s="1525" t="s">
        <v>792</v>
      </c>
    </row>
    <row r="9" spans="1:12" ht="12.75" customHeight="1">
      <c r="A9" s="1524" t="s">
        <v>908</v>
      </c>
      <c r="B9" s="508">
        <v>110124.6</v>
      </c>
      <c r="C9" s="508">
        <v>2.2999999999999998</v>
      </c>
      <c r="D9" s="508">
        <v>3509.3</v>
      </c>
      <c r="E9" s="508">
        <v>14227.8</v>
      </c>
      <c r="F9" s="553">
        <v>17737.099999999999</v>
      </c>
      <c r="G9" s="508">
        <v>5943.7</v>
      </c>
      <c r="H9" s="508">
        <v>354128.7</v>
      </c>
      <c r="I9" s="553">
        <v>360072.4</v>
      </c>
      <c r="J9" s="508">
        <v>83800.7</v>
      </c>
      <c r="K9" s="553">
        <v>571737.1</v>
      </c>
      <c r="L9" s="1526" t="s">
        <v>908</v>
      </c>
    </row>
    <row r="10" spans="1:12" s="383" customFormat="1" ht="12.75" customHeight="1">
      <c r="A10" s="315" t="s">
        <v>1108</v>
      </c>
      <c r="B10" s="503">
        <v>117529.4</v>
      </c>
      <c r="C10" s="503">
        <v>0</v>
      </c>
      <c r="D10" s="503">
        <v>5279.8</v>
      </c>
      <c r="E10" s="503">
        <v>17064.3</v>
      </c>
      <c r="F10" s="503">
        <v>22344.1</v>
      </c>
      <c r="G10" s="503">
        <v>7457.2</v>
      </c>
      <c r="H10" s="503">
        <v>396366.5</v>
      </c>
      <c r="I10" s="503">
        <v>403823.7</v>
      </c>
      <c r="J10" s="503">
        <v>94209.1</v>
      </c>
      <c r="K10" s="503">
        <v>637906.29999999993</v>
      </c>
      <c r="L10" s="418" t="s">
        <v>1108</v>
      </c>
    </row>
    <row r="11" spans="1:12" s="383" customFormat="1" ht="12.75" customHeight="1">
      <c r="A11" s="250" t="s">
        <v>1167</v>
      </c>
      <c r="B11" s="508">
        <v>110257.3</v>
      </c>
      <c r="C11" s="508">
        <v>0</v>
      </c>
      <c r="D11" s="508">
        <v>5366.6</v>
      </c>
      <c r="E11" s="508">
        <v>21902.2</v>
      </c>
      <c r="F11" s="508">
        <v>27268.799999999999</v>
      </c>
      <c r="G11" s="508">
        <v>11303.2</v>
      </c>
      <c r="H11" s="508">
        <v>447518.7</v>
      </c>
      <c r="I11" s="508">
        <v>458821.8</v>
      </c>
      <c r="J11" s="508">
        <v>105178.6</v>
      </c>
      <c r="K11" s="508">
        <v>701526.5</v>
      </c>
      <c r="L11" s="441" t="s">
        <v>1167</v>
      </c>
    </row>
    <row r="12" spans="1:12" s="383" customFormat="1" ht="12.75" customHeight="1">
      <c r="A12" s="315" t="s">
        <v>1299</v>
      </c>
      <c r="B12" s="503">
        <v>114219.6</v>
      </c>
      <c r="C12" s="503">
        <v>0</v>
      </c>
      <c r="D12" s="503">
        <v>6923.8</v>
      </c>
      <c r="E12" s="503">
        <v>26923.7</v>
      </c>
      <c r="F12" s="503">
        <v>33847.5</v>
      </c>
      <c r="G12" s="503">
        <v>9127.2999999999993</v>
      </c>
      <c r="H12" s="503">
        <v>531340.4</v>
      </c>
      <c r="I12" s="503">
        <v>540467.70000000007</v>
      </c>
      <c r="J12" s="503">
        <v>112745.2</v>
      </c>
      <c r="K12" s="503">
        <v>801280</v>
      </c>
      <c r="L12" s="418" t="s">
        <v>1299</v>
      </c>
    </row>
    <row r="13" spans="1:12" s="383" customFormat="1" ht="12.75" customHeight="1">
      <c r="A13" s="1522" t="s">
        <v>1332</v>
      </c>
      <c r="B13" s="508">
        <v>97333.5</v>
      </c>
      <c r="C13" s="508">
        <v>0</v>
      </c>
      <c r="D13" s="508">
        <v>8161.5</v>
      </c>
      <c r="E13" s="508">
        <v>33950.300000000003</v>
      </c>
      <c r="F13" s="508">
        <v>42111.8</v>
      </c>
      <c r="G13" s="508">
        <v>9118.7000000000007</v>
      </c>
      <c r="H13" s="508">
        <v>612395</v>
      </c>
      <c r="I13" s="508">
        <v>621513.69999999995</v>
      </c>
      <c r="J13" s="508">
        <v>129711.2</v>
      </c>
      <c r="K13" s="508">
        <v>890670.2</v>
      </c>
      <c r="L13" s="419" t="s">
        <v>1332</v>
      </c>
    </row>
    <row r="14" spans="1:12" s="383" customFormat="1" ht="12.75" customHeight="1">
      <c r="A14" s="1523" t="s">
        <v>1471</v>
      </c>
      <c r="B14" s="503">
        <v>94894.9</v>
      </c>
      <c r="C14" s="503">
        <v>0</v>
      </c>
      <c r="D14" s="503">
        <v>8638.7999999999993</v>
      </c>
      <c r="E14" s="503">
        <v>43216.2</v>
      </c>
      <c r="F14" s="503">
        <v>51875.3</v>
      </c>
      <c r="G14" s="503">
        <v>10561.3</v>
      </c>
      <c r="H14" s="503">
        <v>714397</v>
      </c>
      <c r="I14" s="503">
        <v>724958.3</v>
      </c>
      <c r="J14" s="503">
        <v>149898.09999999995</v>
      </c>
      <c r="K14" s="503">
        <v>1021626.6</v>
      </c>
      <c r="L14" s="1527" t="s">
        <v>1471</v>
      </c>
    </row>
    <row r="15" spans="1:12" s="243" customFormat="1" ht="12.75" customHeight="1">
      <c r="A15" s="424" t="s">
        <v>1600</v>
      </c>
      <c r="B15" s="508">
        <v>113273.4</v>
      </c>
      <c r="C15" s="508">
        <v>0</v>
      </c>
      <c r="D15" s="508">
        <v>10941.8</v>
      </c>
      <c r="E15" s="508">
        <v>44526.6</v>
      </c>
      <c r="F15" s="508">
        <v>55468.399999999994</v>
      </c>
      <c r="G15" s="508">
        <v>12413.8</v>
      </c>
      <c r="H15" s="508">
        <v>797858.7</v>
      </c>
      <c r="I15" s="508">
        <v>810272.5</v>
      </c>
      <c r="J15" s="508">
        <v>167870.4</v>
      </c>
      <c r="K15" s="508">
        <v>1146884.7</v>
      </c>
      <c r="L15" s="419" t="s">
        <v>1600</v>
      </c>
    </row>
    <row r="16" spans="1:12" ht="12.75" customHeight="1">
      <c r="A16" s="1511" t="s">
        <v>1695</v>
      </c>
      <c r="B16" s="603">
        <v>181150.7</v>
      </c>
      <c r="C16" s="603">
        <v>0</v>
      </c>
      <c r="D16" s="603">
        <v>11420.7</v>
      </c>
      <c r="E16" s="603">
        <v>43383.4</v>
      </c>
      <c r="F16" s="603">
        <v>54804.100000000006</v>
      </c>
      <c r="G16" s="603">
        <v>17794.400000000001</v>
      </c>
      <c r="H16" s="603">
        <v>875826.1</v>
      </c>
      <c r="I16" s="603">
        <v>893620.5</v>
      </c>
      <c r="J16" s="603">
        <v>178058.39999999991</v>
      </c>
      <c r="K16" s="603">
        <v>1307633.7</v>
      </c>
      <c r="L16" s="395" t="s">
        <v>1695</v>
      </c>
    </row>
    <row r="17" spans="1:16" ht="12.75" customHeight="1">
      <c r="A17" s="984" t="s">
        <v>1764</v>
      </c>
      <c r="B17" s="600">
        <f>B29</f>
        <v>221024.9</v>
      </c>
      <c r="C17" s="600">
        <f t="shared" ref="C17:K17" si="3">C29</f>
        <v>0</v>
      </c>
      <c r="D17" s="600">
        <f t="shared" si="3"/>
        <v>11686.7</v>
      </c>
      <c r="E17" s="600">
        <f t="shared" si="3"/>
        <v>44685.5</v>
      </c>
      <c r="F17" s="600">
        <f t="shared" si="3"/>
        <v>56372.2</v>
      </c>
      <c r="G17" s="600">
        <f t="shared" si="3"/>
        <v>18330.400000000001</v>
      </c>
      <c r="H17" s="600">
        <f t="shared" si="3"/>
        <v>944500.9</v>
      </c>
      <c r="I17" s="600">
        <f t="shared" si="3"/>
        <v>962831.3</v>
      </c>
      <c r="J17" s="600">
        <f t="shared" si="3"/>
        <v>199670.7</v>
      </c>
      <c r="K17" s="600">
        <f t="shared" si="3"/>
        <v>1439899.0999999999</v>
      </c>
      <c r="L17" s="1529" t="s">
        <v>1764</v>
      </c>
      <c r="N17" s="580"/>
    </row>
    <row r="18" spans="1:16" ht="12.75" customHeight="1">
      <c r="A18" s="438" t="s">
        <v>606</v>
      </c>
      <c r="B18" s="503">
        <v>196694.9</v>
      </c>
      <c r="C18" s="503">
        <v>0</v>
      </c>
      <c r="D18" s="503">
        <v>11307.1</v>
      </c>
      <c r="E18" s="503">
        <v>42537</v>
      </c>
      <c r="F18" s="503">
        <f t="shared" ref="F18:F47" si="4">D18+E18</f>
        <v>53844.1</v>
      </c>
      <c r="G18" s="503">
        <v>19123</v>
      </c>
      <c r="H18" s="503">
        <v>933569</v>
      </c>
      <c r="I18" s="503">
        <f t="shared" ref="I18:I44" si="5">G18+H18</f>
        <v>952692</v>
      </c>
      <c r="J18" s="317">
        <v>117723.99999999977</v>
      </c>
      <c r="K18" s="317">
        <f t="shared" ref="K18:K47" si="6">B18+C18+F18+I18+J18</f>
        <v>1320954.9999999998</v>
      </c>
      <c r="L18" s="1528" t="s">
        <v>606</v>
      </c>
      <c r="N18" s="580"/>
      <c r="O18" s="580"/>
    </row>
    <row r="19" spans="1:16" ht="12.75" customHeight="1">
      <c r="A19" s="424" t="s">
        <v>607</v>
      </c>
      <c r="B19" s="508">
        <v>195187.9</v>
      </c>
      <c r="C19" s="508">
        <v>0</v>
      </c>
      <c r="D19" s="508">
        <v>11416.8</v>
      </c>
      <c r="E19" s="508">
        <v>41794.5</v>
      </c>
      <c r="F19" s="508">
        <f t="shared" si="4"/>
        <v>53211.3</v>
      </c>
      <c r="G19" s="508">
        <v>19484.7</v>
      </c>
      <c r="H19" s="508">
        <v>939368.6</v>
      </c>
      <c r="I19" s="508">
        <f t="shared" si="5"/>
        <v>958853.29999999993</v>
      </c>
      <c r="J19" s="252">
        <v>119147.09999999986</v>
      </c>
      <c r="K19" s="252">
        <f t="shared" si="6"/>
        <v>1326399.5999999999</v>
      </c>
      <c r="L19" s="1530" t="s">
        <v>607</v>
      </c>
      <c r="N19" s="580"/>
    </row>
    <row r="20" spans="1:16" ht="12.75" customHeight="1">
      <c r="A20" s="438" t="s">
        <v>601</v>
      </c>
      <c r="B20" s="503">
        <v>190498.6</v>
      </c>
      <c r="C20" s="503">
        <v>0</v>
      </c>
      <c r="D20" s="503">
        <v>11312.5</v>
      </c>
      <c r="E20" s="503">
        <v>41540.300000000003</v>
      </c>
      <c r="F20" s="503">
        <f t="shared" si="4"/>
        <v>52852.800000000003</v>
      </c>
      <c r="G20" s="503">
        <v>18065.5</v>
      </c>
      <c r="H20" s="503">
        <v>891028.8</v>
      </c>
      <c r="I20" s="503">
        <f t="shared" si="5"/>
        <v>909094.3</v>
      </c>
      <c r="J20" s="317">
        <v>180513.2</v>
      </c>
      <c r="K20" s="317">
        <f t="shared" si="6"/>
        <v>1332958.9000000001</v>
      </c>
      <c r="L20" s="1528" t="s">
        <v>601</v>
      </c>
      <c r="N20" s="580"/>
    </row>
    <row r="21" spans="1:16" ht="12.75" customHeight="1">
      <c r="A21" s="424" t="s">
        <v>608</v>
      </c>
      <c r="B21" s="508">
        <v>191607.1</v>
      </c>
      <c r="C21" s="508">
        <v>0</v>
      </c>
      <c r="D21" s="508">
        <v>11660.6</v>
      </c>
      <c r="E21" s="508">
        <v>40976.1</v>
      </c>
      <c r="F21" s="508">
        <f t="shared" si="4"/>
        <v>52636.7</v>
      </c>
      <c r="G21" s="508">
        <v>19313.3</v>
      </c>
      <c r="H21" s="508">
        <v>950267.9</v>
      </c>
      <c r="I21" s="508">
        <f t="shared" si="5"/>
        <v>969581.20000000007</v>
      </c>
      <c r="J21" s="252">
        <v>122160.09999999977</v>
      </c>
      <c r="K21" s="252">
        <f t="shared" si="6"/>
        <v>1335985.0999999999</v>
      </c>
      <c r="L21" s="1530" t="s">
        <v>608</v>
      </c>
      <c r="N21" s="580"/>
    </row>
    <row r="22" spans="1:16" s="526" customFormat="1" ht="12.75" customHeight="1">
      <c r="A22" s="438" t="s">
        <v>609</v>
      </c>
      <c r="B22" s="503">
        <v>193146</v>
      </c>
      <c r="C22" s="503">
        <v>0</v>
      </c>
      <c r="D22" s="484">
        <v>11548.2</v>
      </c>
      <c r="E22" s="484">
        <v>40999.599999999999</v>
      </c>
      <c r="F22" s="503">
        <f t="shared" si="4"/>
        <v>52547.8</v>
      </c>
      <c r="G22" s="484">
        <v>19092.599999999999</v>
      </c>
      <c r="H22" s="484">
        <v>895984.7</v>
      </c>
      <c r="I22" s="503">
        <f t="shared" si="5"/>
        <v>915077.29999999993</v>
      </c>
      <c r="J22" s="484">
        <v>183917.7</v>
      </c>
      <c r="K22" s="484">
        <f t="shared" si="6"/>
        <v>1344688.7999999998</v>
      </c>
      <c r="L22" s="1528" t="s">
        <v>609</v>
      </c>
      <c r="N22" s="580"/>
    </row>
    <row r="23" spans="1:16" s="526" customFormat="1" ht="12.75" customHeight="1">
      <c r="A23" s="424" t="s">
        <v>602</v>
      </c>
      <c r="B23" s="508">
        <v>191282.6</v>
      </c>
      <c r="C23" s="508">
        <v>0</v>
      </c>
      <c r="D23" s="510">
        <v>11384.7</v>
      </c>
      <c r="E23" s="510">
        <v>43965.8</v>
      </c>
      <c r="F23" s="508">
        <f t="shared" si="4"/>
        <v>55350.5</v>
      </c>
      <c r="G23" s="510">
        <v>19605.2</v>
      </c>
      <c r="H23" s="508">
        <v>909875</v>
      </c>
      <c r="I23" s="508">
        <f t="shared" si="5"/>
        <v>929480.2</v>
      </c>
      <c r="J23" s="508">
        <v>187462.2</v>
      </c>
      <c r="K23" s="510">
        <f t="shared" si="6"/>
        <v>1363575.5</v>
      </c>
      <c r="L23" s="1530" t="s">
        <v>602</v>
      </c>
      <c r="N23" s="580"/>
    </row>
    <row r="24" spans="1:16" s="526" customFormat="1" ht="12.75" customHeight="1">
      <c r="A24" s="438" t="s">
        <v>610</v>
      </c>
      <c r="B24" s="503">
        <v>191361</v>
      </c>
      <c r="C24" s="503">
        <v>0</v>
      </c>
      <c r="D24" s="484">
        <v>11685.1</v>
      </c>
      <c r="E24" s="484">
        <v>43745.5</v>
      </c>
      <c r="F24" s="484">
        <f t="shared" si="4"/>
        <v>55430.6</v>
      </c>
      <c r="G24" s="484">
        <v>19355.2</v>
      </c>
      <c r="H24" s="503">
        <v>907548.2</v>
      </c>
      <c r="I24" s="503">
        <f t="shared" si="5"/>
        <v>926903.39999999991</v>
      </c>
      <c r="J24" s="503">
        <v>188729.60000000001</v>
      </c>
      <c r="K24" s="503">
        <f t="shared" si="6"/>
        <v>1362424.6</v>
      </c>
      <c r="L24" s="1528" t="s">
        <v>610</v>
      </c>
      <c r="N24" s="580"/>
    </row>
    <row r="25" spans="1:16" s="526" customFormat="1" ht="12.75" customHeight="1">
      <c r="A25" s="424" t="s">
        <v>611</v>
      </c>
      <c r="B25" s="508">
        <v>179511.5</v>
      </c>
      <c r="C25" s="508">
        <v>0</v>
      </c>
      <c r="D25" s="510">
        <v>11673.4</v>
      </c>
      <c r="E25" s="510">
        <v>44001.9</v>
      </c>
      <c r="F25" s="510">
        <f t="shared" si="4"/>
        <v>55675.3</v>
      </c>
      <c r="G25" s="510">
        <v>19808.7</v>
      </c>
      <c r="H25" s="508">
        <v>917804.8</v>
      </c>
      <c r="I25" s="508">
        <f t="shared" si="5"/>
        <v>937613.5</v>
      </c>
      <c r="J25" s="508">
        <v>191703.9</v>
      </c>
      <c r="K25" s="508">
        <f t="shared" si="6"/>
        <v>1364504.2</v>
      </c>
      <c r="L25" s="1530" t="s">
        <v>611</v>
      </c>
      <c r="N25" s="580"/>
    </row>
    <row r="26" spans="1:16" s="526" customFormat="1" ht="12.75" customHeight="1">
      <c r="A26" s="438" t="s">
        <v>603</v>
      </c>
      <c r="B26" s="503">
        <v>178911.8</v>
      </c>
      <c r="C26" s="503">
        <v>0</v>
      </c>
      <c r="D26" s="484">
        <v>11721.4</v>
      </c>
      <c r="E26" s="484">
        <v>44811.9</v>
      </c>
      <c r="F26" s="484">
        <f t="shared" si="4"/>
        <v>56533.3</v>
      </c>
      <c r="G26" s="484">
        <v>19717.2</v>
      </c>
      <c r="H26" s="503">
        <v>921088.4</v>
      </c>
      <c r="I26" s="503">
        <f t="shared" si="5"/>
        <v>940805.6</v>
      </c>
      <c r="J26" s="503">
        <v>194483</v>
      </c>
      <c r="K26" s="503">
        <f t="shared" si="6"/>
        <v>1370733.7</v>
      </c>
      <c r="L26" s="1528" t="s">
        <v>603</v>
      </c>
      <c r="N26" s="580"/>
    </row>
    <row r="27" spans="1:16" s="526" customFormat="1" ht="12.75" customHeight="1">
      <c r="A27" s="424" t="s">
        <v>612</v>
      </c>
      <c r="B27" s="508">
        <v>187168.1</v>
      </c>
      <c r="C27" s="508">
        <v>0</v>
      </c>
      <c r="D27" s="510">
        <v>11660.9</v>
      </c>
      <c r="E27" s="510">
        <v>44042.6</v>
      </c>
      <c r="F27" s="510">
        <f t="shared" si="4"/>
        <v>55703.5</v>
      </c>
      <c r="G27" s="510">
        <v>19065.900000000001</v>
      </c>
      <c r="H27" s="508">
        <v>924740.1</v>
      </c>
      <c r="I27" s="508">
        <f t="shared" si="5"/>
        <v>943806</v>
      </c>
      <c r="J27" s="508">
        <v>195554.19999999966</v>
      </c>
      <c r="K27" s="508">
        <f t="shared" si="6"/>
        <v>1382231.7999999998</v>
      </c>
      <c r="L27" s="1530" t="s">
        <v>612</v>
      </c>
      <c r="N27" s="580"/>
    </row>
    <row r="28" spans="1:16" s="526" customFormat="1" ht="12.75" customHeight="1">
      <c r="A28" s="438" t="s">
        <v>613</v>
      </c>
      <c r="B28" s="503">
        <v>197478.7</v>
      </c>
      <c r="C28" s="503">
        <v>0</v>
      </c>
      <c r="D28" s="484">
        <v>11734.5</v>
      </c>
      <c r="E28" s="503">
        <v>43140</v>
      </c>
      <c r="F28" s="484">
        <f t="shared" si="4"/>
        <v>54874.5</v>
      </c>
      <c r="G28" s="484">
        <v>19045.5</v>
      </c>
      <c r="H28" s="503">
        <v>932592.4</v>
      </c>
      <c r="I28" s="503">
        <f t="shared" si="5"/>
        <v>951637.9</v>
      </c>
      <c r="J28" s="503">
        <v>196076.5</v>
      </c>
      <c r="K28" s="503">
        <f t="shared" si="6"/>
        <v>1400067.6</v>
      </c>
      <c r="L28" s="1528" t="s">
        <v>613</v>
      </c>
      <c r="N28" s="580"/>
    </row>
    <row r="29" spans="1:16" s="526" customFormat="1" ht="12.75" customHeight="1">
      <c r="A29" s="424" t="s">
        <v>604</v>
      </c>
      <c r="B29" s="508">
        <v>221024.9</v>
      </c>
      <c r="C29" s="508">
        <v>0</v>
      </c>
      <c r="D29" s="510">
        <v>11686.7</v>
      </c>
      <c r="E29" s="508">
        <v>44685.5</v>
      </c>
      <c r="F29" s="508">
        <f t="shared" si="4"/>
        <v>56372.2</v>
      </c>
      <c r="G29" s="510">
        <v>18330.400000000001</v>
      </c>
      <c r="H29" s="508">
        <v>944500.9</v>
      </c>
      <c r="I29" s="508">
        <f t="shared" si="5"/>
        <v>962831.3</v>
      </c>
      <c r="J29" s="508">
        <v>199670.7</v>
      </c>
      <c r="K29" s="508">
        <f t="shared" si="6"/>
        <v>1439899.0999999999</v>
      </c>
      <c r="L29" s="1530" t="s">
        <v>604</v>
      </c>
      <c r="N29" s="580"/>
      <c r="O29" s="585"/>
      <c r="P29" s="585"/>
    </row>
    <row r="30" spans="1:16" s="526" customFormat="1" ht="12.75" customHeight="1">
      <c r="A30" s="1511" t="s">
        <v>2166</v>
      </c>
      <c r="B30" s="603">
        <f>B42</f>
        <v>283314.5</v>
      </c>
      <c r="C30" s="603">
        <f t="shared" ref="C30:K30" si="7">C42</f>
        <v>0</v>
      </c>
      <c r="D30" s="603">
        <f t="shared" si="7"/>
        <v>11888.306285111861</v>
      </c>
      <c r="E30" s="603">
        <f t="shared" si="7"/>
        <v>46525.068338350975</v>
      </c>
      <c r="F30" s="603">
        <f t="shared" si="7"/>
        <v>58413.374623462834</v>
      </c>
      <c r="G30" s="603">
        <f t="shared" si="7"/>
        <v>25306.388915850399</v>
      </c>
      <c r="H30" s="603">
        <f t="shared" si="7"/>
        <v>1078354.71160969</v>
      </c>
      <c r="I30" s="603">
        <f t="shared" si="7"/>
        <v>1103661.1005255403</v>
      </c>
      <c r="J30" s="603">
        <f t="shared" si="7"/>
        <v>226359.92485099685</v>
      </c>
      <c r="K30" s="603">
        <f t="shared" si="7"/>
        <v>1671748.9</v>
      </c>
      <c r="L30" s="1531" t="s">
        <v>2166</v>
      </c>
      <c r="N30" s="580"/>
      <c r="O30" s="585"/>
      <c r="P30" s="585"/>
    </row>
    <row r="31" spans="1:16" s="526" customFormat="1" ht="12.75" customHeight="1">
      <c r="A31" s="424" t="s">
        <v>606</v>
      </c>
      <c r="B31" s="508">
        <v>229134.9</v>
      </c>
      <c r="C31" s="508">
        <v>0</v>
      </c>
      <c r="D31" s="508">
        <v>11579.506458375037</v>
      </c>
      <c r="E31" s="508">
        <v>42954.990394571549</v>
      </c>
      <c r="F31" s="508">
        <f t="shared" si="4"/>
        <v>54534.496852946584</v>
      </c>
      <c r="G31" s="508">
        <v>18553.4610015734</v>
      </c>
      <c r="H31" s="508">
        <v>944470.59143260901</v>
      </c>
      <c r="I31" s="508">
        <f t="shared" si="5"/>
        <v>963024.05243418238</v>
      </c>
      <c r="J31" s="508">
        <v>199589.15071287064</v>
      </c>
      <c r="K31" s="508">
        <f t="shared" si="6"/>
        <v>1446282.5999999996</v>
      </c>
      <c r="L31" s="1530" t="s">
        <v>606</v>
      </c>
      <c r="M31" s="585"/>
      <c r="N31" s="580"/>
      <c r="O31" s="585"/>
      <c r="P31" s="585"/>
    </row>
    <row r="32" spans="1:16" s="526" customFormat="1" ht="12.75" customHeight="1">
      <c r="A32" s="438" t="s">
        <v>607</v>
      </c>
      <c r="B32" s="503">
        <v>224512.3</v>
      </c>
      <c r="C32" s="503">
        <v>0</v>
      </c>
      <c r="D32" s="503">
        <v>11311.156155724431</v>
      </c>
      <c r="E32" s="503">
        <v>41759.115205893635</v>
      </c>
      <c r="F32" s="503">
        <f t="shared" si="4"/>
        <v>53070.27136161807</v>
      </c>
      <c r="G32" s="503">
        <v>18909.319591101201</v>
      </c>
      <c r="H32" s="503">
        <v>952701.96250044706</v>
      </c>
      <c r="I32" s="503">
        <f t="shared" si="5"/>
        <v>971611.2820915482</v>
      </c>
      <c r="J32" s="503">
        <v>199937.14654683365</v>
      </c>
      <c r="K32" s="503">
        <f t="shared" si="6"/>
        <v>1449131</v>
      </c>
      <c r="L32" s="1528" t="s">
        <v>607</v>
      </c>
      <c r="M32" s="585"/>
      <c r="N32" s="580"/>
      <c r="O32" s="585"/>
      <c r="P32" s="585"/>
    </row>
    <row r="33" spans="1:16" s="526" customFormat="1" ht="12.75" customHeight="1">
      <c r="A33" s="424" t="s">
        <v>601</v>
      </c>
      <c r="B33" s="508">
        <v>227544.9</v>
      </c>
      <c r="C33" s="508">
        <v>0</v>
      </c>
      <c r="D33" s="508">
        <v>10935.856363526456</v>
      </c>
      <c r="E33" s="508">
        <v>42673.65928798489</v>
      </c>
      <c r="F33" s="508">
        <f t="shared" si="4"/>
        <v>53609.515651511349</v>
      </c>
      <c r="G33" s="508">
        <v>19689.6645535487</v>
      </c>
      <c r="H33" s="508">
        <v>965859.60138087894</v>
      </c>
      <c r="I33" s="508">
        <f t="shared" si="5"/>
        <v>985549.26593442762</v>
      </c>
      <c r="J33" s="508">
        <v>202199.51841406114</v>
      </c>
      <c r="K33" s="508">
        <f t="shared" si="6"/>
        <v>1468903.2</v>
      </c>
      <c r="L33" s="1530" t="s">
        <v>601</v>
      </c>
      <c r="M33" s="585"/>
      <c r="N33" s="580"/>
      <c r="O33" s="585"/>
      <c r="P33" s="585"/>
    </row>
    <row r="34" spans="1:16" s="526" customFormat="1" ht="12.75" customHeight="1">
      <c r="A34" s="438" t="s">
        <v>608</v>
      </c>
      <c r="B34" s="503">
        <v>230981.5</v>
      </c>
      <c r="C34" s="503">
        <v>0</v>
      </c>
      <c r="D34" s="503">
        <v>11368.405256602669</v>
      </c>
      <c r="E34" s="503">
        <v>41950.375857956933</v>
      </c>
      <c r="F34" s="503">
        <f t="shared" si="4"/>
        <v>53318.781114559606</v>
      </c>
      <c r="G34" s="503">
        <v>20207.647994348801</v>
      </c>
      <c r="H34" s="503">
        <v>974130.22245023202</v>
      </c>
      <c r="I34" s="503">
        <f t="shared" si="5"/>
        <v>994337.8704445808</v>
      </c>
      <c r="J34" s="503">
        <v>203467.24844085943</v>
      </c>
      <c r="K34" s="503">
        <f t="shared" si="6"/>
        <v>1482105.4</v>
      </c>
      <c r="L34" s="1528" t="s">
        <v>608</v>
      </c>
      <c r="M34" s="585"/>
      <c r="N34" s="580"/>
      <c r="O34" s="585"/>
      <c r="P34" s="585"/>
    </row>
    <row r="35" spans="1:16" s="526" customFormat="1" ht="12.75" customHeight="1">
      <c r="A35" s="424" t="s">
        <v>609</v>
      </c>
      <c r="B35" s="508">
        <v>240082.2</v>
      </c>
      <c r="C35" s="508">
        <v>0</v>
      </c>
      <c r="D35" s="508">
        <v>11335.744037868011</v>
      </c>
      <c r="E35" s="508">
        <v>42605.079168156684</v>
      </c>
      <c r="F35" s="508">
        <f t="shared" si="4"/>
        <v>53940.823206024696</v>
      </c>
      <c r="G35" s="508">
        <v>21724.161860708398</v>
      </c>
      <c r="H35" s="508">
        <v>983290.24974298303</v>
      </c>
      <c r="I35" s="508">
        <f t="shared" si="5"/>
        <v>1005014.4116036914</v>
      </c>
      <c r="J35" s="508">
        <v>208372.76519028383</v>
      </c>
      <c r="K35" s="508">
        <f t="shared" si="6"/>
        <v>1507410.2</v>
      </c>
      <c r="L35" s="1530" t="s">
        <v>609</v>
      </c>
      <c r="M35" s="585"/>
      <c r="N35" s="580"/>
      <c r="O35" s="585"/>
      <c r="P35" s="585"/>
    </row>
    <row r="36" spans="1:16" s="526" customFormat="1" ht="12.75" customHeight="1">
      <c r="A36" s="438" t="s">
        <v>602</v>
      </c>
      <c r="B36" s="503">
        <v>234544.1</v>
      </c>
      <c r="C36" s="503">
        <v>0</v>
      </c>
      <c r="D36" s="503">
        <v>11143.737277985052</v>
      </c>
      <c r="E36" s="503">
        <v>45936.59275544191</v>
      </c>
      <c r="F36" s="503">
        <f t="shared" si="4"/>
        <v>57080.330033426959</v>
      </c>
      <c r="G36" s="503">
        <v>23249.865473357699</v>
      </c>
      <c r="H36" s="503">
        <v>1005502.2081925001</v>
      </c>
      <c r="I36" s="503">
        <f t="shared" si="5"/>
        <v>1028752.0736658578</v>
      </c>
      <c r="J36" s="503">
        <v>211811.49630071525</v>
      </c>
      <c r="K36" s="503">
        <f t="shared" si="6"/>
        <v>1532188</v>
      </c>
      <c r="L36" s="1528" t="s">
        <v>602</v>
      </c>
      <c r="M36" s="585"/>
      <c r="N36" s="580"/>
      <c r="O36" s="585"/>
      <c r="P36" s="585"/>
    </row>
    <row r="37" spans="1:16" s="526" customFormat="1" ht="12.75" customHeight="1">
      <c r="A37" s="424" t="s">
        <v>610</v>
      </c>
      <c r="B37" s="508">
        <v>232076</v>
      </c>
      <c r="C37" s="508">
        <v>0</v>
      </c>
      <c r="D37" s="508">
        <v>11495.169643673071</v>
      </c>
      <c r="E37" s="508">
        <v>45279.175198533325</v>
      </c>
      <c r="F37" s="508">
        <f t="shared" si="4"/>
        <v>56774.344842206396</v>
      </c>
      <c r="G37" s="508">
        <v>24882.304605678699</v>
      </c>
      <c r="H37" s="508">
        <v>1005906.978367</v>
      </c>
      <c r="I37" s="508">
        <f t="shared" si="5"/>
        <v>1030789.2829726787</v>
      </c>
      <c r="J37" s="508">
        <v>215071.87218511506</v>
      </c>
      <c r="K37" s="508">
        <f t="shared" si="6"/>
        <v>1534711.5</v>
      </c>
      <c r="L37" s="1530" t="s">
        <v>610</v>
      </c>
      <c r="M37" s="585"/>
      <c r="N37" s="580"/>
      <c r="O37" s="585"/>
      <c r="P37" s="585"/>
    </row>
    <row r="38" spans="1:16" s="526" customFormat="1" ht="12.75" customHeight="1">
      <c r="A38" s="438" t="s">
        <v>611</v>
      </c>
      <c r="B38" s="503">
        <v>231467.6</v>
      </c>
      <c r="C38" s="503">
        <v>0</v>
      </c>
      <c r="D38" s="503">
        <v>11493.29771211174</v>
      </c>
      <c r="E38" s="503">
        <v>45473.26456616936</v>
      </c>
      <c r="F38" s="503">
        <f t="shared" si="4"/>
        <v>56966.562278281097</v>
      </c>
      <c r="G38" s="503">
        <v>24420.294291357899</v>
      </c>
      <c r="H38" s="503">
        <v>1015800.05129565</v>
      </c>
      <c r="I38" s="503">
        <f t="shared" si="5"/>
        <v>1040220.3455870078</v>
      </c>
      <c r="J38" s="503">
        <v>217585.89213471147</v>
      </c>
      <c r="K38" s="503">
        <f t="shared" si="6"/>
        <v>1546240.4000000004</v>
      </c>
      <c r="L38" s="1528" t="s">
        <v>611</v>
      </c>
      <c r="M38" s="585"/>
      <c r="N38" s="580"/>
      <c r="O38" s="585"/>
      <c r="P38" s="585"/>
    </row>
    <row r="39" spans="1:16" s="526" customFormat="1" ht="12.75" customHeight="1">
      <c r="A39" s="424" t="s">
        <v>603</v>
      </c>
      <c r="B39" s="508">
        <v>235493.5</v>
      </c>
      <c r="C39" s="508">
        <v>0</v>
      </c>
      <c r="D39" s="508">
        <v>11534.462013077919</v>
      </c>
      <c r="E39" s="508">
        <v>46444.12651363753</v>
      </c>
      <c r="F39" s="508">
        <f t="shared" si="4"/>
        <v>57978.588526715452</v>
      </c>
      <c r="G39" s="508">
        <v>24236.824373610201</v>
      </c>
      <c r="H39" s="508">
        <v>1024240.14378745</v>
      </c>
      <c r="I39" s="508">
        <f t="shared" si="5"/>
        <v>1048476.9681610602</v>
      </c>
      <c r="J39" s="508">
        <v>220761.84331222443</v>
      </c>
      <c r="K39" s="508">
        <f t="shared" si="6"/>
        <v>1562710.9000000001</v>
      </c>
      <c r="L39" s="1530" t="s">
        <v>603</v>
      </c>
      <c r="M39" s="585"/>
      <c r="N39" s="580"/>
      <c r="O39" s="585"/>
      <c r="P39" s="585"/>
    </row>
    <row r="40" spans="1:16" s="526" customFormat="1" ht="12.75" customHeight="1">
      <c r="A40" s="438" t="s">
        <v>612</v>
      </c>
      <c r="B40" s="503">
        <v>254529.19999999998</v>
      </c>
      <c r="C40" s="503">
        <v>0</v>
      </c>
      <c r="D40" s="503">
        <v>11501.263586967871</v>
      </c>
      <c r="E40" s="503">
        <v>45660.134568726622</v>
      </c>
      <c r="F40" s="503">
        <f t="shared" si="4"/>
        <v>57161.398155694493</v>
      </c>
      <c r="G40" s="503">
        <v>24400.702627023798</v>
      </c>
      <c r="H40" s="503">
        <v>1040615.0219765001</v>
      </c>
      <c r="I40" s="503">
        <f t="shared" si="5"/>
        <v>1065015.724603524</v>
      </c>
      <c r="J40" s="503">
        <v>223363.17724078119</v>
      </c>
      <c r="K40" s="503">
        <f t="shared" si="6"/>
        <v>1600069.4999999998</v>
      </c>
      <c r="L40" s="1528" t="s">
        <v>612</v>
      </c>
      <c r="M40" s="585"/>
      <c r="N40" s="580"/>
      <c r="O40" s="585"/>
      <c r="P40" s="585"/>
    </row>
    <row r="41" spans="1:16" s="526" customFormat="1" ht="12.75" customHeight="1">
      <c r="A41" s="424" t="s">
        <v>613</v>
      </c>
      <c r="B41" s="508">
        <v>251184.4</v>
      </c>
      <c r="C41" s="508">
        <v>0</v>
      </c>
      <c r="D41" s="508">
        <v>11417.302293277311</v>
      </c>
      <c r="E41" s="508">
        <v>45252.714489789796</v>
      </c>
      <c r="F41" s="508">
        <f t="shared" si="4"/>
        <v>56670.016783067105</v>
      </c>
      <c r="G41" s="508">
        <v>25453.634864756299</v>
      </c>
      <c r="H41" s="508">
        <v>1057997.87111855</v>
      </c>
      <c r="I41" s="508">
        <f t="shared" si="5"/>
        <v>1083451.5059833063</v>
      </c>
      <c r="J41" s="508">
        <v>220240.97723362638</v>
      </c>
      <c r="K41" s="508">
        <f t="shared" si="6"/>
        <v>1611546.9</v>
      </c>
      <c r="L41" s="1530" t="s">
        <v>613</v>
      </c>
      <c r="M41" s="585"/>
      <c r="N41" s="580"/>
      <c r="O41" s="585"/>
      <c r="P41" s="585"/>
    </row>
    <row r="42" spans="1:16" s="526" customFormat="1" ht="12.75" customHeight="1">
      <c r="A42" s="438" t="s">
        <v>604</v>
      </c>
      <c r="B42" s="503">
        <v>283314.5</v>
      </c>
      <c r="C42" s="503">
        <v>0</v>
      </c>
      <c r="D42" s="503">
        <v>11888.306285111861</v>
      </c>
      <c r="E42" s="503">
        <v>46525.068338350975</v>
      </c>
      <c r="F42" s="503">
        <f t="shared" si="4"/>
        <v>58413.374623462834</v>
      </c>
      <c r="G42" s="503">
        <v>25306.388915850399</v>
      </c>
      <c r="H42" s="503">
        <v>1078354.71160969</v>
      </c>
      <c r="I42" s="503">
        <f t="shared" si="5"/>
        <v>1103661.1005255403</v>
      </c>
      <c r="J42" s="503">
        <v>226359.92485099685</v>
      </c>
      <c r="K42" s="503">
        <f t="shared" si="6"/>
        <v>1671748.9</v>
      </c>
      <c r="L42" s="1528" t="s">
        <v>604</v>
      </c>
      <c r="M42" s="585"/>
      <c r="N42" s="580"/>
      <c r="O42" s="585"/>
      <c r="P42" s="585"/>
    </row>
    <row r="43" spans="1:16" s="526" customFormat="1" ht="12.75" customHeight="1">
      <c r="A43" s="984" t="s">
        <v>2481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1529" t="s">
        <v>2481</v>
      </c>
      <c r="M43" s="585"/>
      <c r="N43" s="580"/>
      <c r="O43" s="585"/>
      <c r="P43" s="585"/>
    </row>
    <row r="44" spans="1:16" s="526" customFormat="1" ht="12.75" customHeight="1">
      <c r="A44" s="438" t="s">
        <v>606</v>
      </c>
      <c r="B44" s="503">
        <v>281761.7</v>
      </c>
      <c r="C44" s="503">
        <v>0</v>
      </c>
      <c r="D44" s="503">
        <v>12008.157854533902</v>
      </c>
      <c r="E44" s="503">
        <v>45274.658900148723</v>
      </c>
      <c r="F44" s="503">
        <f t="shared" si="4"/>
        <v>57282.816754682623</v>
      </c>
      <c r="G44" s="503">
        <v>26125.949570027999</v>
      </c>
      <c r="H44" s="503">
        <v>1080847.7244113199</v>
      </c>
      <c r="I44" s="503">
        <f t="shared" si="5"/>
        <v>1106973.6739813481</v>
      </c>
      <c r="J44" s="503">
        <v>226446.10926396927</v>
      </c>
      <c r="K44" s="503">
        <f t="shared" si="6"/>
        <v>1672464.3</v>
      </c>
      <c r="L44" s="1528" t="s">
        <v>606</v>
      </c>
      <c r="M44" s="585"/>
      <c r="N44" s="580"/>
      <c r="O44" s="585"/>
      <c r="P44" s="585"/>
    </row>
    <row r="45" spans="1:16" s="526" customFormat="1" ht="12.75" customHeight="1">
      <c r="A45" s="424" t="s">
        <v>607</v>
      </c>
      <c r="B45" s="508">
        <v>288427.39999999997</v>
      </c>
      <c r="C45" s="508">
        <v>0</v>
      </c>
      <c r="D45" s="508">
        <v>11713.838495810249</v>
      </c>
      <c r="E45" s="508">
        <v>44138.554544124847</v>
      </c>
      <c r="F45" s="508">
        <f t="shared" si="4"/>
        <v>55852.393039935094</v>
      </c>
      <c r="G45" s="508">
        <v>26897.596872609902</v>
      </c>
      <c r="H45" s="508">
        <v>1090128.1518876101</v>
      </c>
      <c r="I45" s="508">
        <f>G45+H45</f>
        <v>1117025.7487602199</v>
      </c>
      <c r="J45" s="508">
        <v>228216.45819984522</v>
      </c>
      <c r="K45" s="508">
        <f t="shared" si="6"/>
        <v>1689522</v>
      </c>
      <c r="L45" s="1530" t="s">
        <v>607</v>
      </c>
      <c r="M45" s="585"/>
      <c r="N45" s="580"/>
      <c r="O45" s="585"/>
      <c r="P45" s="585"/>
    </row>
    <row r="46" spans="1:16" s="526" customFormat="1" ht="12.75" customHeight="1">
      <c r="A46" s="438" t="s">
        <v>601</v>
      </c>
      <c r="B46" s="503">
        <v>292492.09999999998</v>
      </c>
      <c r="C46" s="503">
        <v>0</v>
      </c>
      <c r="D46" s="503">
        <v>11942.828952817588</v>
      </c>
      <c r="E46" s="503">
        <v>43928.571986931711</v>
      </c>
      <c r="F46" s="503">
        <f t="shared" si="4"/>
        <v>55871.400939749299</v>
      </c>
      <c r="G46" s="503">
        <v>26210.394968135199</v>
      </c>
      <c r="H46" s="503">
        <v>1105628.2324140701</v>
      </c>
      <c r="I46" s="503">
        <f>G46+H46</f>
        <v>1131838.6273822053</v>
      </c>
      <c r="J46" s="503">
        <v>229870.67167804533</v>
      </c>
      <c r="K46" s="503">
        <f t="shared" si="6"/>
        <v>1710072.7999999998</v>
      </c>
      <c r="L46" s="1528" t="s">
        <v>601</v>
      </c>
      <c r="M46" s="585"/>
      <c r="N46" s="580"/>
      <c r="O46" s="585"/>
      <c r="P46" s="585"/>
    </row>
    <row r="47" spans="1:16" s="526" customFormat="1" ht="12.75" customHeight="1" thickBot="1">
      <c r="A47" s="1432" t="s">
        <v>608</v>
      </c>
      <c r="B47" s="1692">
        <v>305145.3</v>
      </c>
      <c r="C47" s="1692">
        <v>0</v>
      </c>
      <c r="D47" s="1692">
        <v>11924.136422956502</v>
      </c>
      <c r="E47" s="1692">
        <v>44670.385132438583</v>
      </c>
      <c r="F47" s="1692">
        <f t="shared" si="4"/>
        <v>56594.521555395084</v>
      </c>
      <c r="G47" s="1692">
        <v>26854.586889405498</v>
      </c>
      <c r="H47" s="1692">
        <v>1112296.7015984501</v>
      </c>
      <c r="I47" s="1692">
        <f>G47+H47</f>
        <v>1139151.2884878556</v>
      </c>
      <c r="J47" s="1692">
        <v>232194.78995674942</v>
      </c>
      <c r="K47" s="1692">
        <f t="shared" si="6"/>
        <v>1733085.9000000001</v>
      </c>
      <c r="L47" s="1693" t="s">
        <v>608</v>
      </c>
      <c r="M47" s="585"/>
      <c r="N47" s="580"/>
      <c r="O47" s="585"/>
      <c r="P47" s="585"/>
    </row>
    <row r="48" spans="1:16" s="526" customFormat="1">
      <c r="A48" s="485" t="s">
        <v>1521</v>
      </c>
      <c r="B48" s="1919" t="s">
        <v>1550</v>
      </c>
      <c r="C48" s="1919"/>
      <c r="D48" s="1919"/>
      <c r="E48" s="1919"/>
      <c r="F48" s="1919"/>
      <c r="G48" s="486" t="s">
        <v>205</v>
      </c>
      <c r="H48" s="1921" t="s">
        <v>1365</v>
      </c>
      <c r="I48" s="1921"/>
      <c r="J48" s="1921"/>
      <c r="K48" s="1921"/>
      <c r="L48" s="1921"/>
      <c r="N48" s="580"/>
    </row>
    <row r="49" spans="1:20">
      <c r="A49" s="243"/>
      <c r="B49" s="1919" t="s">
        <v>2175</v>
      </c>
      <c r="C49" s="1919"/>
      <c r="D49" s="1919"/>
      <c r="E49" s="1919"/>
      <c r="F49" s="1919"/>
      <c r="G49" s="580"/>
      <c r="H49" s="580"/>
      <c r="I49" s="580"/>
      <c r="J49" s="674"/>
      <c r="K49" s="674"/>
      <c r="L49" s="674"/>
      <c r="M49" s="580"/>
      <c r="N49" s="580"/>
      <c r="O49" s="580"/>
    </row>
    <row r="50" spans="1:20">
      <c r="A50" s="526"/>
      <c r="B50" s="526"/>
      <c r="C50" s="585"/>
      <c r="D50" s="580"/>
      <c r="E50" s="585"/>
      <c r="F50" s="1629"/>
      <c r="G50" s="585"/>
      <c r="H50" s="585"/>
      <c r="I50" s="585"/>
      <c r="J50" s="674"/>
      <c r="L50" s="674"/>
      <c r="M50" s="580"/>
      <c r="N50" s="580"/>
    </row>
    <row r="51" spans="1:20">
      <c r="B51" s="585"/>
      <c r="C51" s="585"/>
      <c r="D51" s="580"/>
      <c r="E51" s="585"/>
      <c r="F51" s="1629"/>
      <c r="G51" s="585"/>
      <c r="H51" s="585"/>
      <c r="I51" s="585"/>
      <c r="J51" s="674"/>
      <c r="L51" s="674"/>
      <c r="M51" s="580"/>
      <c r="N51" s="580"/>
      <c r="O51" s="526"/>
      <c r="P51" s="526"/>
      <c r="Q51" s="526"/>
      <c r="R51" s="526"/>
      <c r="S51" s="526"/>
      <c r="T51" s="526"/>
    </row>
    <row r="52" spans="1:20">
      <c r="B52" s="585"/>
      <c r="C52" s="585"/>
      <c r="D52" s="580"/>
      <c r="E52" s="585"/>
      <c r="F52" s="1629"/>
      <c r="G52" s="585"/>
      <c r="H52" s="585"/>
      <c r="I52" s="585"/>
      <c r="J52" s="674"/>
      <c r="L52" s="674"/>
      <c r="M52" s="580"/>
      <c r="N52" s="580"/>
      <c r="O52" s="526"/>
      <c r="P52" s="526"/>
      <c r="Q52" s="526"/>
      <c r="R52" s="526"/>
      <c r="S52" s="526"/>
      <c r="T52" s="526"/>
    </row>
    <row r="53" spans="1:20">
      <c r="B53" s="585"/>
      <c r="C53" s="585"/>
      <c r="D53" s="580"/>
      <c r="E53" s="580"/>
      <c r="F53" s="1629"/>
      <c r="G53" s="585"/>
      <c r="H53" s="585"/>
      <c r="I53" s="585"/>
      <c r="J53" s="674"/>
      <c r="L53" s="674"/>
      <c r="M53" s="580"/>
    </row>
    <row r="54" spans="1:20">
      <c r="B54" s="580"/>
      <c r="C54" s="585"/>
      <c r="D54" s="580"/>
      <c r="E54" s="585"/>
      <c r="F54" s="1431"/>
      <c r="G54" s="585"/>
      <c r="H54" s="585"/>
      <c r="I54" s="585"/>
      <c r="J54" s="674"/>
      <c r="K54" s="674"/>
      <c r="L54" s="674"/>
    </row>
    <row r="55" spans="1:20" ht="12" customHeight="1">
      <c r="B55" s="580"/>
      <c r="C55" s="585"/>
      <c r="D55" s="580"/>
      <c r="E55" s="585"/>
      <c r="F55" s="1431"/>
      <c r="G55" s="585"/>
      <c r="H55" s="585"/>
      <c r="I55" s="585"/>
      <c r="J55" s="674"/>
      <c r="K55" s="674"/>
      <c r="L55" s="674"/>
      <c r="M55" s="580"/>
      <c r="N55" s="580"/>
      <c r="O55" s="580"/>
    </row>
    <row r="56" spans="1:20" ht="12.75" customHeight="1">
      <c r="C56" s="585"/>
      <c r="D56" s="580"/>
      <c r="E56" s="585"/>
      <c r="F56" s="1431"/>
      <c r="G56" s="585"/>
      <c r="H56" s="585"/>
      <c r="I56" s="585"/>
      <c r="J56" s="674"/>
      <c r="K56" s="674"/>
      <c r="L56" s="674"/>
      <c r="N56" s="580"/>
    </row>
    <row r="57" spans="1:20" ht="12" customHeight="1">
      <c r="C57" s="585"/>
      <c r="D57" s="580"/>
      <c r="E57" s="580"/>
      <c r="F57" s="1431"/>
      <c r="G57" s="580"/>
      <c r="H57" s="585"/>
      <c r="I57" s="585"/>
      <c r="J57" s="674"/>
      <c r="K57" s="674"/>
      <c r="L57" s="674"/>
    </row>
    <row r="58" spans="1:20" ht="12.75" customHeight="1">
      <c r="C58" s="585"/>
      <c r="D58" s="580"/>
      <c r="E58" s="580"/>
      <c r="F58" s="1431"/>
      <c r="G58" s="580"/>
      <c r="H58" s="585"/>
      <c r="I58" s="585"/>
      <c r="J58" s="580"/>
      <c r="K58" s="674"/>
      <c r="L58" s="674"/>
    </row>
    <row r="59" spans="1:20" ht="13.5" customHeight="1">
      <c r="C59" s="585"/>
      <c r="D59" s="580"/>
      <c r="E59" s="580"/>
      <c r="F59" s="1431"/>
      <c r="G59" s="580"/>
      <c r="H59" s="585"/>
      <c r="I59" s="585"/>
      <c r="J59" s="580"/>
      <c r="K59" s="674"/>
    </row>
    <row r="60" spans="1:20" ht="14.25" customHeight="1">
      <c r="C60" s="585"/>
      <c r="D60" s="580"/>
      <c r="E60" s="580"/>
      <c r="F60" s="1431"/>
      <c r="G60" s="580"/>
      <c r="H60" s="585"/>
      <c r="I60" s="585"/>
      <c r="J60" s="580"/>
      <c r="K60" s="674"/>
    </row>
    <row r="61" spans="1:20" ht="15" customHeight="1">
      <c r="C61" s="585"/>
      <c r="D61" s="580"/>
      <c r="E61" s="580"/>
      <c r="F61" s="1431"/>
      <c r="G61" s="580"/>
      <c r="H61" s="580"/>
      <c r="I61" s="585"/>
      <c r="J61" s="580"/>
      <c r="K61" s="674"/>
    </row>
    <row r="62" spans="1:20">
      <c r="D62" s="580"/>
      <c r="E62" s="580"/>
      <c r="F62" s="580"/>
      <c r="G62" s="580"/>
      <c r="H62" s="580"/>
      <c r="I62" s="580"/>
    </row>
    <row r="63" spans="1:20">
      <c r="D63" s="580"/>
      <c r="E63" s="580"/>
      <c r="F63" s="580"/>
      <c r="G63" s="580"/>
      <c r="H63" s="580"/>
      <c r="I63" s="580"/>
    </row>
    <row r="64" spans="1:20">
      <c r="D64" s="580"/>
      <c r="E64" s="580"/>
      <c r="F64" s="580"/>
      <c r="G64" s="580"/>
      <c r="H64" s="580"/>
      <c r="I64" s="580"/>
      <c r="J64" s="580"/>
      <c r="K64" s="580"/>
    </row>
    <row r="65" spans="4:10">
      <c r="D65" s="580"/>
      <c r="E65" s="580"/>
      <c r="F65" s="580"/>
      <c r="G65" s="580"/>
      <c r="H65" s="580"/>
      <c r="I65" s="580"/>
      <c r="J65" s="580"/>
    </row>
    <row r="66" spans="4:10">
      <c r="D66" s="580"/>
      <c r="E66" s="580"/>
      <c r="F66" s="580"/>
      <c r="G66" s="580"/>
      <c r="H66" s="580"/>
      <c r="I66" s="580"/>
      <c r="J66" s="580"/>
    </row>
    <row r="67" spans="4:10">
      <c r="D67" s="580"/>
      <c r="E67" s="580"/>
      <c r="F67" s="580"/>
      <c r="G67" s="580"/>
      <c r="H67" s="580"/>
      <c r="I67" s="580"/>
      <c r="J67" s="58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49:F49"/>
    <mergeCell ref="A3:A5"/>
    <mergeCell ref="J3:J4"/>
    <mergeCell ref="B48:F48"/>
    <mergeCell ref="B3:B4"/>
    <mergeCell ref="C3:C4"/>
    <mergeCell ref="H48:L48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45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7"/>
  <sheetViews>
    <sheetView zoomScale="180" zoomScaleNormal="18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53" t="s">
        <v>1395</v>
      </c>
      <c r="B1" s="1853"/>
      <c r="C1" s="1853"/>
      <c r="D1" s="1853"/>
      <c r="E1" s="1853"/>
      <c r="F1" s="1853" t="s">
        <v>213</v>
      </c>
      <c r="G1" s="1853"/>
    </row>
    <row r="2" spans="1:9" s="42" customFormat="1" ht="12">
      <c r="F2" s="1833" t="s">
        <v>24</v>
      </c>
      <c r="G2" s="1924"/>
    </row>
    <row r="3" spans="1:9" s="425" customFormat="1" ht="15" customHeight="1">
      <c r="A3" s="1788" t="s">
        <v>997</v>
      </c>
      <c r="B3" s="1785" t="s">
        <v>909</v>
      </c>
      <c r="C3" s="1785" t="s">
        <v>220</v>
      </c>
      <c r="D3" s="1791" t="s">
        <v>211</v>
      </c>
      <c r="E3" s="1792"/>
      <c r="F3" s="1792"/>
      <c r="G3" s="1785" t="s">
        <v>894</v>
      </c>
    </row>
    <row r="4" spans="1:9" s="425" customFormat="1" ht="12.75" customHeight="1">
      <c r="A4" s="1789"/>
      <c r="B4" s="1846"/>
      <c r="C4" s="1923"/>
      <c r="D4" s="1911" t="s">
        <v>212</v>
      </c>
      <c r="E4" s="1912"/>
      <c r="F4" s="1814" t="s">
        <v>1346</v>
      </c>
      <c r="G4" s="1846"/>
    </row>
    <row r="5" spans="1:9" s="184" customFormat="1" ht="19.5" customHeight="1">
      <c r="A5" s="1789"/>
      <c r="B5" s="1846"/>
      <c r="C5" s="1923"/>
      <c r="D5" s="1785" t="s">
        <v>2592</v>
      </c>
      <c r="E5" s="1785" t="s">
        <v>210</v>
      </c>
      <c r="F5" s="1925"/>
      <c r="G5" s="1846"/>
    </row>
    <row r="6" spans="1:9" s="184" customFormat="1" ht="14.25" customHeight="1">
      <c r="A6" s="1789"/>
      <c r="B6" s="1786"/>
      <c r="C6" s="1922"/>
      <c r="D6" s="1786"/>
      <c r="E6" s="1922"/>
      <c r="F6" s="1815"/>
      <c r="G6" s="1786"/>
    </row>
    <row r="7" spans="1:9" s="20" customFormat="1" ht="10.5" customHeight="1">
      <c r="A7" s="179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2" customHeight="1">
      <c r="A8" s="9" t="s">
        <v>81</v>
      </c>
      <c r="B8" s="246">
        <v>46157.1</v>
      </c>
      <c r="C8" s="246">
        <v>4308.3</v>
      </c>
      <c r="D8" s="246">
        <v>23468</v>
      </c>
      <c r="E8" s="246">
        <v>6367.5</v>
      </c>
      <c r="F8" s="246">
        <v>209.4</v>
      </c>
      <c r="G8" s="246">
        <f>B8+C8+D8+F8</f>
        <v>74142.799999999988</v>
      </c>
      <c r="H8" s="41"/>
      <c r="I8" s="41"/>
    </row>
    <row r="9" spans="1:9" ht="12.2" customHeight="1">
      <c r="A9" s="332" t="s">
        <v>199</v>
      </c>
      <c r="B9" s="317">
        <v>54795.1</v>
      </c>
      <c r="C9" s="317">
        <v>5731.8</v>
      </c>
      <c r="D9" s="317">
        <v>29007.7</v>
      </c>
      <c r="E9" s="317">
        <v>7766.5</v>
      </c>
      <c r="F9" s="317">
        <v>199.8</v>
      </c>
      <c r="G9" s="317">
        <v>89734.400000000009</v>
      </c>
      <c r="H9" s="41"/>
      <c r="I9" s="41"/>
    </row>
    <row r="10" spans="1:9" s="177" customFormat="1" ht="12.2" customHeight="1">
      <c r="A10" s="175" t="s">
        <v>792</v>
      </c>
      <c r="B10" s="252">
        <v>58417.1</v>
      </c>
      <c r="C10" s="252">
        <v>6479.4</v>
      </c>
      <c r="D10" s="252">
        <v>32662.3</v>
      </c>
      <c r="E10" s="252">
        <v>10289.9</v>
      </c>
      <c r="F10" s="252">
        <v>243.9</v>
      </c>
      <c r="G10" s="252">
        <v>97802.7</v>
      </c>
      <c r="H10" s="175"/>
      <c r="I10" s="41"/>
    </row>
    <row r="11" spans="1:9" s="177" customFormat="1" ht="12.2" customHeight="1">
      <c r="A11" s="315" t="s">
        <v>908</v>
      </c>
      <c r="B11" s="317">
        <v>67552.899999999994</v>
      </c>
      <c r="C11" s="317">
        <v>7819.4</v>
      </c>
      <c r="D11" s="317">
        <v>36803.4</v>
      </c>
      <c r="E11" s="317">
        <v>8422.6</v>
      </c>
      <c r="F11" s="317">
        <v>313.70000000000005</v>
      </c>
      <c r="G11" s="317">
        <v>112489.39999999998</v>
      </c>
      <c r="H11" s="175"/>
      <c r="I11" s="41"/>
    </row>
    <row r="12" spans="1:9" s="638" customFormat="1" ht="12.2" customHeight="1">
      <c r="A12" s="552" t="s">
        <v>1108</v>
      </c>
      <c r="B12" s="252">
        <v>76908.399999999994</v>
      </c>
      <c r="C12" s="252">
        <v>8576.7999999999993</v>
      </c>
      <c r="D12" s="252">
        <v>43997.7</v>
      </c>
      <c r="E12" s="252">
        <v>7480.2</v>
      </c>
      <c r="F12" s="252">
        <v>392.4</v>
      </c>
      <c r="G12" s="252">
        <v>129875.29999999999</v>
      </c>
      <c r="H12" s="522"/>
      <c r="I12" s="636"/>
    </row>
    <row r="13" spans="1:9" s="638" customFormat="1" ht="12.2" customHeight="1">
      <c r="A13" s="325" t="s">
        <v>1167</v>
      </c>
      <c r="B13" s="503">
        <v>87940.800000000003</v>
      </c>
      <c r="C13" s="503">
        <v>10213.1</v>
      </c>
      <c r="D13" s="503">
        <v>49838.9</v>
      </c>
      <c r="E13" s="503">
        <v>7889.3</v>
      </c>
      <c r="F13" s="503">
        <v>489.7</v>
      </c>
      <c r="G13" s="503">
        <v>148482.50000000003</v>
      </c>
      <c r="H13" s="522"/>
      <c r="I13" s="58"/>
    </row>
    <row r="14" spans="1:9" s="489" customFormat="1" ht="12.2" customHeight="1">
      <c r="A14" s="250" t="s">
        <v>1299</v>
      </c>
      <c r="B14" s="508">
        <v>122074.5</v>
      </c>
      <c r="C14" s="508">
        <v>10230.700000000001</v>
      </c>
      <c r="D14" s="508">
        <v>60299</v>
      </c>
      <c r="E14" s="508">
        <v>7133.4</v>
      </c>
      <c r="F14" s="508">
        <v>597.1</v>
      </c>
      <c r="G14" s="508">
        <v>193201.30000000002</v>
      </c>
      <c r="H14" s="488"/>
      <c r="I14" s="252"/>
    </row>
    <row r="15" spans="1:9" s="489" customFormat="1" ht="12.2" customHeight="1">
      <c r="A15" s="315" t="s">
        <v>1332</v>
      </c>
      <c r="B15" s="503">
        <v>137531.79999999999</v>
      </c>
      <c r="C15" s="503">
        <v>13733.4</v>
      </c>
      <c r="D15" s="503">
        <v>72732.7</v>
      </c>
      <c r="E15" s="503">
        <v>8987.9</v>
      </c>
      <c r="F15" s="503">
        <v>661.5</v>
      </c>
      <c r="G15" s="503">
        <v>224659.39999999997</v>
      </c>
      <c r="H15" s="488"/>
      <c r="I15" s="252"/>
    </row>
    <row r="16" spans="1:9" s="489" customFormat="1" ht="12.2" customHeight="1">
      <c r="A16" s="250" t="s">
        <v>1471</v>
      </c>
      <c r="B16" s="508">
        <v>140917.5</v>
      </c>
      <c r="C16" s="508">
        <v>14023</v>
      </c>
      <c r="D16" s="508">
        <v>78043.399999999994</v>
      </c>
      <c r="E16" s="508">
        <v>10474.5</v>
      </c>
      <c r="F16" s="508">
        <v>759.1</v>
      </c>
      <c r="G16" s="508">
        <v>233743</v>
      </c>
      <c r="H16" s="488"/>
      <c r="I16" s="252"/>
    </row>
    <row r="17" spans="1:10" s="175" customFormat="1" ht="12.2" customHeight="1">
      <c r="A17" s="354" t="s">
        <v>1600</v>
      </c>
      <c r="B17" s="503">
        <v>154287</v>
      </c>
      <c r="C17" s="503">
        <v>16100.1</v>
      </c>
      <c r="D17" s="503">
        <v>75012.100000000006</v>
      </c>
      <c r="E17" s="503">
        <v>11315.3</v>
      </c>
      <c r="F17" s="503">
        <v>788.5</v>
      </c>
      <c r="G17" s="503">
        <v>246187.7</v>
      </c>
    </row>
    <row r="18" spans="1:10" s="175" customFormat="1" ht="12.2" customHeight="1">
      <c r="A18" s="204" t="s">
        <v>1695</v>
      </c>
      <c r="B18" s="600">
        <v>192114.5</v>
      </c>
      <c r="C18" s="600">
        <v>15979.6</v>
      </c>
      <c r="D18" s="600">
        <v>75768.3</v>
      </c>
      <c r="E18" s="600">
        <v>16308.2</v>
      </c>
      <c r="F18" s="600">
        <v>621</v>
      </c>
      <c r="G18" s="600">
        <v>284483.40000000002</v>
      </c>
    </row>
    <row r="19" spans="1:10" s="175" customFormat="1" ht="12.2" customHeight="1">
      <c r="A19" s="334" t="s">
        <v>1764</v>
      </c>
      <c r="B19" s="603">
        <f t="shared" ref="B19:G19" si="0">B31</f>
        <v>209517.7</v>
      </c>
      <c r="C19" s="603">
        <f t="shared" si="0"/>
        <v>17370.599999999999</v>
      </c>
      <c r="D19" s="603">
        <f t="shared" si="0"/>
        <v>120597</v>
      </c>
      <c r="E19" s="603">
        <f t="shared" si="0"/>
        <v>11944.9</v>
      </c>
      <c r="F19" s="603">
        <f t="shared" si="0"/>
        <v>586.5</v>
      </c>
      <c r="G19" s="603">
        <f t="shared" si="0"/>
        <v>348071.80000000005</v>
      </c>
      <c r="I19" s="815"/>
    </row>
    <row r="20" spans="1:10" s="175" customFormat="1" ht="12.2" customHeight="1">
      <c r="A20" s="175" t="s">
        <v>606</v>
      </c>
      <c r="B20" s="508">
        <v>210983.80000000002</v>
      </c>
      <c r="C20" s="508">
        <v>13685.3</v>
      </c>
      <c r="D20" s="508">
        <v>66742.899999999994</v>
      </c>
      <c r="E20" s="508">
        <v>14881.5</v>
      </c>
      <c r="F20" s="508">
        <v>501.3</v>
      </c>
      <c r="G20" s="508">
        <f t="shared" ref="G20:G37" si="1">B20+C20+D20+F20</f>
        <v>291913.3</v>
      </c>
      <c r="I20" s="815"/>
      <c r="J20" s="815"/>
    </row>
    <row r="21" spans="1:10" s="175" customFormat="1" ht="12.2" customHeight="1">
      <c r="A21" s="332" t="s">
        <v>607</v>
      </c>
      <c r="B21" s="503">
        <v>193989.6</v>
      </c>
      <c r="C21" s="503">
        <v>17870.5</v>
      </c>
      <c r="D21" s="503">
        <v>69651</v>
      </c>
      <c r="E21" s="503">
        <v>16638.599999999999</v>
      </c>
      <c r="F21" s="503">
        <v>510.6</v>
      </c>
      <c r="G21" s="503">
        <f t="shared" si="1"/>
        <v>282021.69999999995</v>
      </c>
      <c r="I21" s="815"/>
      <c r="J21" s="815"/>
    </row>
    <row r="22" spans="1:10" s="175" customFormat="1" ht="12.2" customHeight="1">
      <c r="A22" s="175" t="s">
        <v>601</v>
      </c>
      <c r="B22" s="508">
        <v>189198</v>
      </c>
      <c r="C22" s="508">
        <v>16378.4</v>
      </c>
      <c r="D22" s="508">
        <v>74686.2</v>
      </c>
      <c r="E22" s="508">
        <v>17734.5</v>
      </c>
      <c r="F22" s="508">
        <v>559</v>
      </c>
      <c r="G22" s="508">
        <f t="shared" si="1"/>
        <v>280821.59999999998</v>
      </c>
      <c r="I22" s="815"/>
      <c r="J22" s="815"/>
    </row>
    <row r="23" spans="1:10" s="175" customFormat="1" ht="12.2" customHeight="1">
      <c r="A23" s="332" t="s">
        <v>608</v>
      </c>
      <c r="B23" s="503">
        <v>188056.19999999998</v>
      </c>
      <c r="C23" s="503">
        <v>15750.7</v>
      </c>
      <c r="D23" s="503">
        <v>84813.1</v>
      </c>
      <c r="E23" s="503">
        <v>18753.400000000001</v>
      </c>
      <c r="F23" s="503">
        <v>551.70000000000005</v>
      </c>
      <c r="G23" s="503">
        <f t="shared" si="1"/>
        <v>289171.7</v>
      </c>
      <c r="I23" s="815"/>
      <c r="J23" s="815"/>
    </row>
    <row r="24" spans="1:10" s="175" customFormat="1" ht="12.2" customHeight="1">
      <c r="A24" s="175" t="s">
        <v>609</v>
      </c>
      <c r="B24" s="508">
        <v>185436.9</v>
      </c>
      <c r="C24" s="508">
        <v>16571.099999999999</v>
      </c>
      <c r="D24" s="508">
        <v>94565.9</v>
      </c>
      <c r="E24" s="508">
        <v>19399.8</v>
      </c>
      <c r="F24" s="508">
        <v>521.70000000000005</v>
      </c>
      <c r="G24" s="508">
        <f t="shared" si="1"/>
        <v>297095.60000000003</v>
      </c>
      <c r="I24" s="815"/>
      <c r="J24" s="815"/>
    </row>
    <row r="25" spans="1:10" s="175" customFormat="1" ht="12.2" customHeight="1">
      <c r="A25" s="332" t="s">
        <v>602</v>
      </c>
      <c r="B25" s="503">
        <v>187462.9</v>
      </c>
      <c r="C25" s="503">
        <v>15607.2</v>
      </c>
      <c r="D25" s="503">
        <v>100235</v>
      </c>
      <c r="E25" s="503">
        <v>15600.3</v>
      </c>
      <c r="F25" s="503">
        <v>749.2</v>
      </c>
      <c r="G25" s="503">
        <f t="shared" si="1"/>
        <v>304054.3</v>
      </c>
      <c r="I25" s="815"/>
      <c r="J25" s="815"/>
    </row>
    <row r="26" spans="1:10" s="175" customFormat="1" ht="12.2" customHeight="1">
      <c r="A26" s="175" t="s">
        <v>610</v>
      </c>
      <c r="B26" s="508">
        <v>185741.90000000002</v>
      </c>
      <c r="C26" s="508">
        <v>17617.3</v>
      </c>
      <c r="D26" s="508">
        <v>97338.2</v>
      </c>
      <c r="E26" s="508">
        <v>15409</v>
      </c>
      <c r="F26" s="508">
        <v>527.79999999999995</v>
      </c>
      <c r="G26" s="508">
        <f t="shared" si="1"/>
        <v>301225.2</v>
      </c>
      <c r="I26" s="815"/>
      <c r="J26" s="815"/>
    </row>
    <row r="27" spans="1:10" s="175" customFormat="1" ht="12.2" customHeight="1">
      <c r="A27" s="332" t="s">
        <v>611</v>
      </c>
      <c r="B27" s="503">
        <v>185332.8</v>
      </c>
      <c r="C27" s="503">
        <v>18049</v>
      </c>
      <c r="D27" s="503">
        <v>96552.9</v>
      </c>
      <c r="E27" s="503">
        <v>15607.5</v>
      </c>
      <c r="F27" s="503">
        <v>558.70000000000005</v>
      </c>
      <c r="G27" s="503">
        <f t="shared" si="1"/>
        <v>300493.39999999997</v>
      </c>
      <c r="I27" s="815"/>
      <c r="J27" s="815"/>
    </row>
    <row r="28" spans="1:10" s="175" customFormat="1" ht="12.2" customHeight="1">
      <c r="A28" s="175" t="s">
        <v>603</v>
      </c>
      <c r="B28" s="508">
        <v>184216.3</v>
      </c>
      <c r="C28" s="508">
        <v>17663.5</v>
      </c>
      <c r="D28" s="508">
        <v>101175.8</v>
      </c>
      <c r="E28" s="508">
        <v>14169.2</v>
      </c>
      <c r="F28" s="508">
        <v>605.6</v>
      </c>
      <c r="G28" s="508">
        <f t="shared" si="1"/>
        <v>303661.19999999995</v>
      </c>
      <c r="I28" s="815"/>
      <c r="J28" s="815"/>
    </row>
    <row r="29" spans="1:10" s="175" customFormat="1" ht="12.2" customHeight="1">
      <c r="A29" s="332" t="s">
        <v>612</v>
      </c>
      <c r="B29" s="503">
        <v>192410.9</v>
      </c>
      <c r="C29" s="503">
        <v>17780.2</v>
      </c>
      <c r="D29" s="503">
        <v>105302.39999999999</v>
      </c>
      <c r="E29" s="503">
        <v>13618.6</v>
      </c>
      <c r="F29" s="503">
        <v>567.9</v>
      </c>
      <c r="G29" s="503">
        <f t="shared" si="1"/>
        <v>316061.40000000002</v>
      </c>
      <c r="I29" s="815"/>
      <c r="J29" s="815"/>
    </row>
    <row r="30" spans="1:10" s="175" customFormat="1" ht="12.2" customHeight="1">
      <c r="A30" s="175" t="s">
        <v>613</v>
      </c>
      <c r="B30" s="508">
        <v>201207.69999999998</v>
      </c>
      <c r="C30" s="508">
        <v>19647.099999999999</v>
      </c>
      <c r="D30" s="508">
        <v>106491.2</v>
      </c>
      <c r="E30" s="508">
        <v>13129.6</v>
      </c>
      <c r="F30" s="508">
        <v>506.5</v>
      </c>
      <c r="G30" s="508">
        <f t="shared" si="1"/>
        <v>327852.5</v>
      </c>
      <c r="I30" s="815"/>
      <c r="J30" s="815"/>
    </row>
    <row r="31" spans="1:10" s="175" customFormat="1" ht="12.2" customHeight="1">
      <c r="A31" s="332" t="s">
        <v>604</v>
      </c>
      <c r="B31" s="503">
        <v>209517.7</v>
      </c>
      <c r="C31" s="503">
        <v>17370.599999999999</v>
      </c>
      <c r="D31" s="503">
        <v>120597</v>
      </c>
      <c r="E31" s="503">
        <v>11944.9</v>
      </c>
      <c r="F31" s="503">
        <v>586.5</v>
      </c>
      <c r="G31" s="503">
        <f t="shared" si="1"/>
        <v>348071.80000000005</v>
      </c>
      <c r="I31" s="815"/>
      <c r="J31" s="815"/>
    </row>
    <row r="32" spans="1:10" s="175" customFormat="1" ht="12.2" customHeight="1">
      <c r="A32" s="204" t="s">
        <v>2166</v>
      </c>
      <c r="B32" s="600">
        <f t="shared" ref="B32:G32" si="2">B44</f>
        <v>236448.9</v>
      </c>
      <c r="C32" s="600">
        <f t="shared" si="2"/>
        <v>19733.8</v>
      </c>
      <c r="D32" s="600">
        <f t="shared" si="2"/>
        <v>90382.9</v>
      </c>
      <c r="E32" s="600">
        <f t="shared" si="2"/>
        <v>7819.1</v>
      </c>
      <c r="F32" s="600">
        <f t="shared" si="2"/>
        <v>596.4</v>
      </c>
      <c r="G32" s="600">
        <f t="shared" si="2"/>
        <v>347162</v>
      </c>
      <c r="I32" s="815"/>
    </row>
    <row r="33" spans="1:10" s="175" customFormat="1" ht="12.2" customHeight="1">
      <c r="A33" s="332" t="s">
        <v>606</v>
      </c>
      <c r="B33" s="503">
        <v>227042.9</v>
      </c>
      <c r="C33" s="503">
        <v>19028.900000000001</v>
      </c>
      <c r="D33" s="503">
        <v>102910.1</v>
      </c>
      <c r="E33" s="503">
        <v>12171</v>
      </c>
      <c r="F33" s="503">
        <v>569.29999999999995</v>
      </c>
      <c r="G33" s="503">
        <f t="shared" si="1"/>
        <v>349551.2</v>
      </c>
      <c r="I33" s="815"/>
      <c r="J33" s="815"/>
    </row>
    <row r="34" spans="1:10" s="175" customFormat="1" ht="12.2" customHeight="1">
      <c r="A34" s="175" t="s">
        <v>607</v>
      </c>
      <c r="B34" s="508">
        <v>213520.7</v>
      </c>
      <c r="C34" s="508">
        <v>20154.900000000001</v>
      </c>
      <c r="D34" s="508">
        <v>91655.3</v>
      </c>
      <c r="E34" s="508">
        <v>10259.4</v>
      </c>
      <c r="F34" s="508">
        <v>530.1</v>
      </c>
      <c r="G34" s="508">
        <f t="shared" si="1"/>
        <v>325861</v>
      </c>
      <c r="I34" s="815"/>
      <c r="J34" s="815"/>
    </row>
    <row r="35" spans="1:10" s="175" customFormat="1" ht="12.2" customHeight="1">
      <c r="A35" s="332" t="s">
        <v>601</v>
      </c>
      <c r="B35" s="503">
        <v>209618.4</v>
      </c>
      <c r="C35" s="503">
        <v>18053.3</v>
      </c>
      <c r="D35" s="503">
        <v>95141.5</v>
      </c>
      <c r="E35" s="503">
        <v>10212.9</v>
      </c>
      <c r="F35" s="503">
        <v>521.1</v>
      </c>
      <c r="G35" s="503">
        <f t="shared" si="1"/>
        <v>323334.29999999993</v>
      </c>
      <c r="I35" s="815"/>
      <c r="J35" s="815"/>
    </row>
    <row r="36" spans="1:10" s="175" customFormat="1" ht="12.2" customHeight="1">
      <c r="A36" s="175" t="s">
        <v>608</v>
      </c>
      <c r="B36" s="508">
        <v>205895.2</v>
      </c>
      <c r="C36" s="508">
        <v>19832.5</v>
      </c>
      <c r="D36" s="508">
        <v>93727.7</v>
      </c>
      <c r="E36" s="508">
        <v>9120.9</v>
      </c>
      <c r="F36" s="508">
        <v>502.8</v>
      </c>
      <c r="G36" s="508">
        <f t="shared" si="1"/>
        <v>319958.2</v>
      </c>
      <c r="I36" s="815"/>
    </row>
    <row r="37" spans="1:10" s="175" customFormat="1" ht="12.2" customHeight="1">
      <c r="A37" s="332" t="s">
        <v>609</v>
      </c>
      <c r="B37" s="503">
        <v>208296.4</v>
      </c>
      <c r="C37" s="503">
        <v>18720.7</v>
      </c>
      <c r="D37" s="503">
        <v>104974.3</v>
      </c>
      <c r="E37" s="503">
        <v>7390.7</v>
      </c>
      <c r="F37" s="503">
        <v>497.4</v>
      </c>
      <c r="G37" s="503">
        <f t="shared" si="1"/>
        <v>332488.80000000005</v>
      </c>
      <c r="I37" s="815"/>
    </row>
    <row r="38" spans="1:10" s="175" customFormat="1" ht="12.2" customHeight="1">
      <c r="A38" s="175" t="s">
        <v>602</v>
      </c>
      <c r="B38" s="508">
        <v>210723.1</v>
      </c>
      <c r="C38" s="508">
        <v>18765.099999999999</v>
      </c>
      <c r="D38" s="508">
        <v>93608.8</v>
      </c>
      <c r="E38" s="508">
        <v>7456</v>
      </c>
      <c r="F38" s="508">
        <v>569.29999999999995</v>
      </c>
      <c r="G38" s="508">
        <f t="shared" ref="G38:G49" si="3">B38+C38+D38+F38</f>
        <v>323666.3</v>
      </c>
      <c r="I38" s="815"/>
    </row>
    <row r="39" spans="1:10" s="175" customFormat="1" ht="12.2" customHeight="1">
      <c r="A39" s="332" t="s">
        <v>610</v>
      </c>
      <c r="B39" s="503">
        <v>211777.2</v>
      </c>
      <c r="C39" s="503">
        <v>19620.8</v>
      </c>
      <c r="D39" s="503">
        <v>91311.7</v>
      </c>
      <c r="E39" s="503">
        <v>8370.4</v>
      </c>
      <c r="F39" s="503">
        <v>589.19999999999993</v>
      </c>
      <c r="G39" s="503">
        <f t="shared" si="3"/>
        <v>323298.90000000002</v>
      </c>
      <c r="I39" s="815"/>
    </row>
    <row r="40" spans="1:10" s="175" customFormat="1" ht="12.2" customHeight="1">
      <c r="A40" s="175" t="s">
        <v>611</v>
      </c>
      <c r="B40" s="508">
        <v>212270.2</v>
      </c>
      <c r="C40" s="508">
        <v>20604.400000000001</v>
      </c>
      <c r="D40" s="508">
        <v>88916.7</v>
      </c>
      <c r="E40" s="508">
        <v>7672.7</v>
      </c>
      <c r="F40" s="508">
        <v>493.8</v>
      </c>
      <c r="G40" s="508">
        <f t="shared" si="3"/>
        <v>322285.09999999998</v>
      </c>
      <c r="I40" s="815"/>
    </row>
    <row r="41" spans="1:10" s="175" customFormat="1" ht="12.2" customHeight="1">
      <c r="A41" s="332" t="s">
        <v>603</v>
      </c>
      <c r="B41" s="503">
        <v>212686.7</v>
      </c>
      <c r="C41" s="503">
        <v>19237.099999999999</v>
      </c>
      <c r="D41" s="503">
        <v>88694</v>
      </c>
      <c r="E41" s="503">
        <v>7866.5</v>
      </c>
      <c r="F41" s="503">
        <v>538.4</v>
      </c>
      <c r="G41" s="503">
        <f t="shared" si="3"/>
        <v>321156.20000000007</v>
      </c>
      <c r="I41" s="815"/>
    </row>
    <row r="42" spans="1:10" s="175" customFormat="1" ht="12.2" customHeight="1">
      <c r="A42" s="175" t="s">
        <v>612</v>
      </c>
      <c r="B42" s="508">
        <v>236791.9</v>
      </c>
      <c r="C42" s="508">
        <v>18973.400000000001</v>
      </c>
      <c r="D42" s="508">
        <v>83495.5</v>
      </c>
      <c r="E42" s="508">
        <v>8004.6</v>
      </c>
      <c r="F42" s="508">
        <v>528.5</v>
      </c>
      <c r="G42" s="508">
        <f t="shared" si="3"/>
        <v>339789.3</v>
      </c>
      <c r="I42" s="815"/>
    </row>
    <row r="43" spans="1:10" s="175" customFormat="1" ht="12.2" customHeight="1">
      <c r="A43" s="332" t="s">
        <v>613</v>
      </c>
      <c r="B43" s="503">
        <v>225148.1</v>
      </c>
      <c r="C43" s="503">
        <v>20187.3</v>
      </c>
      <c r="D43" s="503">
        <v>84949.8</v>
      </c>
      <c r="E43" s="503">
        <v>7882.2</v>
      </c>
      <c r="F43" s="503">
        <v>544.20000000000005</v>
      </c>
      <c r="G43" s="503">
        <f t="shared" si="3"/>
        <v>330829.40000000002</v>
      </c>
      <c r="I43" s="815"/>
    </row>
    <row r="44" spans="1:10" s="175" customFormat="1" ht="12.2" customHeight="1">
      <c r="A44" s="175" t="s">
        <v>604</v>
      </c>
      <c r="B44" s="508">
        <v>236448.9</v>
      </c>
      <c r="C44" s="508">
        <v>19733.8</v>
      </c>
      <c r="D44" s="508">
        <v>90382.9</v>
      </c>
      <c r="E44" s="508">
        <v>7819.1</v>
      </c>
      <c r="F44" s="508">
        <v>596.4</v>
      </c>
      <c r="G44" s="508">
        <f>B44+C44+D44+F44</f>
        <v>347162</v>
      </c>
      <c r="I44" s="815"/>
    </row>
    <row r="45" spans="1:10" s="175" customFormat="1" ht="12.2" customHeight="1">
      <c r="A45" s="334" t="s">
        <v>2482</v>
      </c>
      <c r="B45" s="503"/>
      <c r="C45" s="503"/>
      <c r="D45" s="503"/>
      <c r="E45" s="503"/>
      <c r="F45" s="503"/>
      <c r="G45" s="503"/>
      <c r="I45" s="815"/>
    </row>
    <row r="46" spans="1:10" s="175" customFormat="1" ht="12.2" customHeight="1">
      <c r="A46" s="175" t="s">
        <v>606</v>
      </c>
      <c r="B46" s="508">
        <v>242026.2</v>
      </c>
      <c r="C46" s="508">
        <v>22577.3</v>
      </c>
      <c r="D46" s="508">
        <v>79692.100000000006</v>
      </c>
      <c r="E46" s="508">
        <v>7897.6</v>
      </c>
      <c r="F46" s="508">
        <v>635.4</v>
      </c>
      <c r="G46" s="508">
        <f t="shared" si="3"/>
        <v>344931</v>
      </c>
      <c r="I46" s="815"/>
    </row>
    <row r="47" spans="1:10" s="175" customFormat="1" ht="12.2" customHeight="1">
      <c r="A47" s="332" t="s">
        <v>607</v>
      </c>
      <c r="B47" s="503">
        <v>241876.3</v>
      </c>
      <c r="C47" s="503">
        <v>21036.7</v>
      </c>
      <c r="D47" s="503">
        <v>77780</v>
      </c>
      <c r="E47" s="503">
        <v>9432.9</v>
      </c>
      <c r="F47" s="503">
        <v>643.5</v>
      </c>
      <c r="G47" s="503">
        <f t="shared" si="3"/>
        <v>341336.5</v>
      </c>
      <c r="I47" s="815"/>
    </row>
    <row r="48" spans="1:10" s="175" customFormat="1" ht="12.2" customHeight="1">
      <c r="A48" s="175" t="s">
        <v>601</v>
      </c>
      <c r="B48" s="508">
        <v>239998.2</v>
      </c>
      <c r="C48" s="508">
        <v>21638.5</v>
      </c>
      <c r="D48" s="508">
        <v>77791.399999999994</v>
      </c>
      <c r="E48" s="508">
        <v>9161.6</v>
      </c>
      <c r="F48" s="508">
        <v>652.30000000000007</v>
      </c>
      <c r="G48" s="508">
        <f t="shared" si="3"/>
        <v>340080.39999999997</v>
      </c>
      <c r="I48" s="815"/>
    </row>
    <row r="49" spans="1:9" s="175" customFormat="1" ht="12.2" customHeight="1" thickBot="1">
      <c r="A49" s="1682" t="s">
        <v>608</v>
      </c>
      <c r="B49" s="1053">
        <v>236114.2</v>
      </c>
      <c r="C49" s="1053">
        <v>21959</v>
      </c>
      <c r="D49" s="1053">
        <v>76791.7</v>
      </c>
      <c r="E49" s="1053">
        <v>8451.1</v>
      </c>
      <c r="F49" s="1053">
        <v>611.70000000000005</v>
      </c>
      <c r="G49" s="1053">
        <f t="shared" si="3"/>
        <v>335476.60000000003</v>
      </c>
      <c r="I49" s="815"/>
    </row>
    <row r="50" spans="1:9" s="9" customFormat="1" ht="10.5" customHeight="1">
      <c r="A50" s="713"/>
      <c r="B50" s="287" t="s">
        <v>1465</v>
      </c>
      <c r="C50" s="287"/>
      <c r="D50" s="287"/>
      <c r="E50" s="287"/>
      <c r="F50" s="287"/>
      <c r="G50" s="287"/>
      <c r="H50" s="154"/>
      <c r="I50" s="815"/>
    </row>
    <row r="51" spans="1:9" s="9" customFormat="1" ht="11.25" customHeight="1">
      <c r="A51" s="479" t="s">
        <v>1509</v>
      </c>
      <c r="B51" s="1890" t="s">
        <v>1367</v>
      </c>
      <c r="C51" s="1890"/>
      <c r="D51" s="1890"/>
      <c r="E51" s="707"/>
      <c r="F51" s="1151" t="s">
        <v>1469</v>
      </c>
      <c r="G51" s="707"/>
      <c r="I51" s="815"/>
    </row>
    <row r="52" spans="1:9">
      <c r="A52" s="9"/>
      <c r="B52" s="57"/>
      <c r="C52" s="1412"/>
      <c r="D52" s="57"/>
      <c r="E52" s="57"/>
      <c r="F52" s="57"/>
      <c r="G52" s="57"/>
    </row>
    <row r="53" spans="1:9">
      <c r="A53" s="9"/>
      <c r="B53" s="9"/>
      <c r="C53" s="1412"/>
      <c r="D53" s="9"/>
      <c r="E53" s="9"/>
      <c r="F53" s="9"/>
      <c r="G53" s="9"/>
    </row>
    <row r="54" spans="1:9">
      <c r="A54" s="9"/>
      <c r="B54" s="68"/>
      <c r="C54" s="9"/>
      <c r="D54" s="9"/>
      <c r="E54" s="9"/>
      <c r="F54" s="9"/>
      <c r="G54" s="154"/>
    </row>
    <row r="56" spans="1:9">
      <c r="G56" s="41"/>
    </row>
    <row r="57" spans="1:9">
      <c r="G57" s="41"/>
    </row>
    <row r="67" spans="2:7">
      <c r="B67" s="41"/>
      <c r="C67" s="41"/>
      <c r="D67" s="41"/>
      <c r="E67" s="41"/>
      <c r="F67" s="41"/>
      <c r="G67" s="41"/>
    </row>
    <row r="68" spans="2:7">
      <c r="B68" s="41"/>
      <c r="C68" s="41"/>
      <c r="D68" s="41"/>
      <c r="E68" s="41"/>
      <c r="F68" s="41"/>
      <c r="G68" s="41"/>
    </row>
    <row r="69" spans="2:7">
      <c r="B69" s="41"/>
      <c r="C69" s="41"/>
      <c r="D69" s="41"/>
      <c r="E69" s="41"/>
      <c r="F69" s="41"/>
      <c r="G69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D5:D6"/>
    <mergeCell ref="D4:E4"/>
    <mergeCell ref="D3:F3"/>
    <mergeCell ref="B51:D51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45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5"/>
  <sheetViews>
    <sheetView zoomScale="200" zoomScaleNormal="20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J52" sqref="J52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28" t="s">
        <v>1396</v>
      </c>
      <c r="B1" s="1928"/>
      <c r="C1" s="1928"/>
      <c r="D1" s="1928"/>
      <c r="E1" s="1928"/>
      <c r="F1" s="1928"/>
      <c r="G1" s="1928"/>
      <c r="H1" s="1928"/>
      <c r="I1" s="1926" t="s">
        <v>214</v>
      </c>
      <c r="J1" s="1926"/>
    </row>
    <row r="2" spans="1:12" s="182" customFormat="1" ht="12">
      <c r="I2" s="1927" t="s">
        <v>24</v>
      </c>
      <c r="J2" s="1927"/>
    </row>
    <row r="3" spans="1:12" s="425" customFormat="1" ht="15" customHeight="1">
      <c r="A3" s="1831" t="s">
        <v>1019</v>
      </c>
      <c r="B3" s="1920" t="s">
        <v>215</v>
      </c>
      <c r="C3" s="1856" t="s">
        <v>529</v>
      </c>
      <c r="D3" s="1931"/>
      <c r="E3" s="1931"/>
      <c r="F3" s="1931"/>
      <c r="G3" s="1932"/>
      <c r="H3" s="1785" t="s">
        <v>998</v>
      </c>
      <c r="I3" s="1785" t="s">
        <v>218</v>
      </c>
      <c r="J3" s="1785" t="s">
        <v>219</v>
      </c>
    </row>
    <row r="4" spans="1:12" s="425" customFormat="1" ht="12.75" customHeight="1">
      <c r="A4" s="1831"/>
      <c r="B4" s="1929"/>
      <c r="C4" s="1785" t="s">
        <v>856</v>
      </c>
      <c r="D4" s="1785" t="s">
        <v>531</v>
      </c>
      <c r="E4" s="1785" t="s">
        <v>625</v>
      </c>
      <c r="F4" s="1785" t="s">
        <v>216</v>
      </c>
      <c r="G4" s="1785" t="s">
        <v>217</v>
      </c>
      <c r="H4" s="1846"/>
      <c r="I4" s="1846"/>
      <c r="J4" s="1846"/>
    </row>
    <row r="5" spans="1:12" s="184" customFormat="1" ht="19.5" customHeight="1">
      <c r="A5" s="1831"/>
      <c r="B5" s="1929"/>
      <c r="C5" s="1846"/>
      <c r="D5" s="1846"/>
      <c r="E5" s="1923"/>
      <c r="F5" s="1846"/>
      <c r="G5" s="1846"/>
      <c r="H5" s="1846"/>
      <c r="I5" s="1846"/>
      <c r="J5" s="1846"/>
    </row>
    <row r="6" spans="1:12" s="184" customFormat="1" ht="14.25" customHeight="1">
      <c r="A6" s="1831"/>
      <c r="B6" s="1930"/>
      <c r="C6" s="1786"/>
      <c r="D6" s="1786"/>
      <c r="E6" s="1922"/>
      <c r="F6" s="1786"/>
      <c r="G6" s="1786"/>
      <c r="H6" s="1786"/>
      <c r="I6" s="1786"/>
      <c r="J6" s="1786"/>
    </row>
    <row r="7" spans="1:12" s="248" customFormat="1" ht="10.5" customHeight="1">
      <c r="A7" s="1831"/>
      <c r="B7" s="1134">
        <v>1</v>
      </c>
      <c r="C7" s="562">
        <v>2</v>
      </c>
      <c r="D7" s="562">
        <v>3</v>
      </c>
      <c r="E7" s="562">
        <v>4</v>
      </c>
      <c r="F7" s="562">
        <v>5</v>
      </c>
      <c r="G7" s="562">
        <v>6</v>
      </c>
      <c r="H7" s="562">
        <v>7</v>
      </c>
      <c r="I7" s="562">
        <v>8</v>
      </c>
      <c r="J7" s="562">
        <v>9</v>
      </c>
    </row>
    <row r="8" spans="1:12" s="263" customFormat="1" ht="12.75" customHeight="1">
      <c r="A8" s="263" t="s">
        <v>81</v>
      </c>
      <c r="B8" s="508">
        <v>61181</v>
      </c>
      <c r="C8" s="508">
        <v>21471.200000000001</v>
      </c>
      <c r="D8" s="280">
        <v>830.7</v>
      </c>
      <c r="E8" s="280">
        <v>2588.6999999999998</v>
      </c>
      <c r="F8" s="280">
        <v>6613.9</v>
      </c>
      <c r="G8" s="280">
        <f t="shared" ref="G8:G10" si="0">C8+D8+E8+F8</f>
        <v>31504.5</v>
      </c>
      <c r="H8" s="508">
        <v>-18542.7</v>
      </c>
      <c r="I8" s="252">
        <f t="shared" ref="I8:I10" si="1">G8+H8</f>
        <v>12961.8</v>
      </c>
      <c r="J8" s="252">
        <f t="shared" ref="J8:J10" si="2">B8+I8</f>
        <v>74142.8</v>
      </c>
      <c r="K8" s="637"/>
    </row>
    <row r="9" spans="1:12" s="263" customFormat="1" ht="12.75" customHeight="1">
      <c r="A9" s="639" t="s">
        <v>199</v>
      </c>
      <c r="B9" s="503">
        <v>61342.1</v>
      </c>
      <c r="C9" s="503">
        <v>31710.5</v>
      </c>
      <c r="D9" s="322">
        <v>776.7</v>
      </c>
      <c r="E9" s="322">
        <v>3143.7</v>
      </c>
      <c r="F9" s="322">
        <v>18608.8</v>
      </c>
      <c r="G9" s="322">
        <f t="shared" si="0"/>
        <v>54239.7</v>
      </c>
      <c r="H9" s="503">
        <v>-25847.4</v>
      </c>
      <c r="I9" s="317">
        <f t="shared" si="1"/>
        <v>28392.299999999996</v>
      </c>
      <c r="J9" s="317">
        <f t="shared" si="2"/>
        <v>89734.399999999994</v>
      </c>
      <c r="K9" s="637"/>
    </row>
    <row r="10" spans="1:12" s="263" customFormat="1" ht="12.75" customHeight="1">
      <c r="A10" s="263" t="s">
        <v>792</v>
      </c>
      <c r="B10" s="508">
        <v>68930.100000000006</v>
      </c>
      <c r="C10" s="508">
        <v>37854.9</v>
      </c>
      <c r="D10" s="280">
        <v>1181.9000000000001</v>
      </c>
      <c r="E10" s="280">
        <v>3598.7</v>
      </c>
      <c r="F10" s="280">
        <v>22627.4</v>
      </c>
      <c r="G10" s="280">
        <f t="shared" si="0"/>
        <v>65262.9</v>
      </c>
      <c r="H10" s="508">
        <v>-36390.300000000003</v>
      </c>
      <c r="I10" s="252">
        <f t="shared" si="1"/>
        <v>28872.6</v>
      </c>
      <c r="J10" s="252">
        <f t="shared" si="2"/>
        <v>97802.700000000012</v>
      </c>
      <c r="K10" s="637"/>
    </row>
    <row r="11" spans="1:12" s="263" customFormat="1" ht="12.75" customHeight="1">
      <c r="A11" s="639" t="s">
        <v>908</v>
      </c>
      <c r="B11" s="503">
        <v>103246</v>
      </c>
      <c r="C11" s="503">
        <v>27069</v>
      </c>
      <c r="D11" s="322">
        <v>1354.5</v>
      </c>
      <c r="E11" s="322">
        <v>4180.2</v>
      </c>
      <c r="F11" s="322">
        <v>10219</v>
      </c>
      <c r="G11" s="322">
        <v>42822.7</v>
      </c>
      <c r="H11" s="503">
        <v>-33579.300000000003</v>
      </c>
      <c r="I11" s="317">
        <v>9243.3999999999942</v>
      </c>
      <c r="J11" s="317">
        <v>112489.4</v>
      </c>
      <c r="K11" s="637"/>
    </row>
    <row r="12" spans="1:12" s="638" customFormat="1" ht="12.75" customHeight="1">
      <c r="A12" s="552" t="s">
        <v>1108</v>
      </c>
      <c r="B12" s="252">
        <v>147496.6</v>
      </c>
      <c r="C12" s="508">
        <v>3840.6</v>
      </c>
      <c r="D12" s="508">
        <v>1202.7</v>
      </c>
      <c r="E12" s="508">
        <v>4272.7</v>
      </c>
      <c r="F12" s="508">
        <v>6279.2</v>
      </c>
      <c r="G12" s="508">
        <v>15595.2</v>
      </c>
      <c r="H12" s="508">
        <v>-33216.5</v>
      </c>
      <c r="I12" s="508">
        <v>-17621.3</v>
      </c>
      <c r="J12" s="508">
        <v>129875.3</v>
      </c>
    </row>
    <row r="13" spans="1:12" s="640" customFormat="1" ht="12.75" customHeight="1">
      <c r="A13" s="325" t="s">
        <v>1167</v>
      </c>
      <c r="B13" s="503">
        <v>177401.3</v>
      </c>
      <c r="C13" s="503">
        <v>810.5</v>
      </c>
      <c r="D13" s="503">
        <v>2160.8000000000002</v>
      </c>
      <c r="E13" s="503">
        <v>4645.6000000000004</v>
      </c>
      <c r="F13" s="503">
        <v>5659.2</v>
      </c>
      <c r="G13" s="503">
        <v>13276.1</v>
      </c>
      <c r="H13" s="503">
        <v>-42194.9</v>
      </c>
      <c r="I13" s="503">
        <v>-28918.800000000003</v>
      </c>
      <c r="J13" s="503">
        <v>148482.5</v>
      </c>
      <c r="L13" s="641"/>
    </row>
    <row r="14" spans="1:12" s="489" customFormat="1" ht="12.75" customHeight="1">
      <c r="A14" s="250" t="s">
        <v>1299</v>
      </c>
      <c r="B14" s="508">
        <v>218904.1</v>
      </c>
      <c r="C14" s="508">
        <v>13373.7</v>
      </c>
      <c r="D14" s="508">
        <v>2015.5</v>
      </c>
      <c r="E14" s="508">
        <v>4966.8999999999996</v>
      </c>
      <c r="F14" s="508">
        <v>6024.4</v>
      </c>
      <c r="G14" s="508">
        <v>26380.5</v>
      </c>
      <c r="H14" s="508">
        <v>-52083.3</v>
      </c>
      <c r="I14" s="508">
        <v>-25702.800000000003</v>
      </c>
      <c r="J14" s="508">
        <v>193201.3</v>
      </c>
      <c r="L14" s="488"/>
    </row>
    <row r="15" spans="1:12" s="489" customFormat="1" ht="12.75" customHeight="1">
      <c r="A15" s="315" t="s">
        <v>1332</v>
      </c>
      <c r="B15" s="503">
        <v>252027</v>
      </c>
      <c r="C15" s="503">
        <v>12977.7</v>
      </c>
      <c r="D15" s="503">
        <v>2157.8000000000002</v>
      </c>
      <c r="E15" s="503">
        <v>4976.6000000000004</v>
      </c>
      <c r="F15" s="503">
        <v>5054.3999999999996</v>
      </c>
      <c r="G15" s="503">
        <v>25166.5</v>
      </c>
      <c r="H15" s="503">
        <v>-52534.1</v>
      </c>
      <c r="I15" s="503">
        <v>-27367.599999999999</v>
      </c>
      <c r="J15" s="503">
        <v>224659.4</v>
      </c>
      <c r="L15" s="488"/>
    </row>
    <row r="16" spans="1:12" s="489" customFormat="1" ht="12.75" customHeight="1">
      <c r="A16" s="250" t="s">
        <v>1471</v>
      </c>
      <c r="B16" s="508">
        <v>253509.8</v>
      </c>
      <c r="C16" s="508">
        <v>22572.2</v>
      </c>
      <c r="D16" s="508">
        <v>2367.8000000000002</v>
      </c>
      <c r="E16" s="508">
        <v>5146.2</v>
      </c>
      <c r="F16" s="508">
        <v>5582.5</v>
      </c>
      <c r="G16" s="508">
        <v>35668.699999999997</v>
      </c>
      <c r="H16" s="508">
        <v>-55435.5</v>
      </c>
      <c r="I16" s="508">
        <v>-19766.800000000003</v>
      </c>
      <c r="J16" s="508">
        <v>233743</v>
      </c>
      <c r="L16" s="488"/>
    </row>
    <row r="17" spans="1:13" s="243" customFormat="1" ht="12.75" customHeight="1">
      <c r="A17" s="354" t="s">
        <v>1600</v>
      </c>
      <c r="B17" s="503">
        <v>257195.4</v>
      </c>
      <c r="C17" s="503">
        <v>31189</v>
      </c>
      <c r="D17" s="503">
        <v>2380.4</v>
      </c>
      <c r="E17" s="503">
        <v>4789.5</v>
      </c>
      <c r="F17" s="503">
        <v>5386.9</v>
      </c>
      <c r="G17" s="503">
        <v>43745.8</v>
      </c>
      <c r="H17" s="503">
        <v>-54753.5</v>
      </c>
      <c r="I17" s="503">
        <v>-11007.699999999997</v>
      </c>
      <c r="J17" s="503">
        <v>246187.7</v>
      </c>
      <c r="K17" s="674"/>
    </row>
    <row r="18" spans="1:13" ht="12.75" customHeight="1">
      <c r="A18" s="204" t="s">
        <v>1695</v>
      </c>
      <c r="B18" s="600">
        <v>286040.90000000002</v>
      </c>
      <c r="C18" s="600">
        <v>42117.1</v>
      </c>
      <c r="D18" s="600">
        <v>2551.9</v>
      </c>
      <c r="E18" s="600">
        <v>5342.5</v>
      </c>
      <c r="F18" s="600">
        <v>13764.9</v>
      </c>
      <c r="G18" s="600">
        <v>63776.4</v>
      </c>
      <c r="H18" s="600">
        <v>-65333.9</v>
      </c>
      <c r="I18" s="600">
        <v>-1557.5</v>
      </c>
      <c r="J18" s="600">
        <v>284483.40000000002</v>
      </c>
    </row>
    <row r="19" spans="1:13" ht="12.75" customHeight="1">
      <c r="A19" s="334" t="s">
        <v>1764</v>
      </c>
      <c r="B19" s="603">
        <f>B31</f>
        <v>366917.3</v>
      </c>
      <c r="C19" s="603">
        <f t="shared" ref="C19:J19" si="3">C31</f>
        <v>17285.5</v>
      </c>
      <c r="D19" s="603">
        <f t="shared" si="3"/>
        <v>3218.1</v>
      </c>
      <c r="E19" s="603">
        <f t="shared" si="3"/>
        <v>5838.7</v>
      </c>
      <c r="F19" s="603">
        <f t="shared" si="3"/>
        <v>18952.3</v>
      </c>
      <c r="G19" s="603">
        <f>G31</f>
        <v>45294.6</v>
      </c>
      <c r="H19" s="603">
        <f t="shared" si="3"/>
        <v>-64140.1</v>
      </c>
      <c r="I19" s="603">
        <f t="shared" si="3"/>
        <v>-18845.5</v>
      </c>
      <c r="J19" s="603">
        <f t="shared" si="3"/>
        <v>348071.8</v>
      </c>
      <c r="L19" s="189"/>
      <c r="M19" s="189"/>
    </row>
    <row r="20" spans="1:13" ht="12.75" customHeight="1">
      <c r="A20" s="175" t="s">
        <v>606</v>
      </c>
      <c r="B20" s="508">
        <v>297266.40000000002</v>
      </c>
      <c r="C20" s="508">
        <v>38923.9</v>
      </c>
      <c r="D20" s="508">
        <v>2502.6999999999998</v>
      </c>
      <c r="E20" s="508">
        <v>5126.3999999999996</v>
      </c>
      <c r="F20" s="508">
        <v>13989.9</v>
      </c>
      <c r="G20" s="508">
        <f t="shared" ref="G20:G49" si="4">C20+D20+E20+F20</f>
        <v>60542.9</v>
      </c>
      <c r="H20" s="508">
        <v>-65896</v>
      </c>
      <c r="I20" s="508">
        <f t="shared" ref="I20:I49" si="5">G20+H20</f>
        <v>-5353.0999999999985</v>
      </c>
      <c r="J20" s="508">
        <f t="shared" ref="J20:J49" si="6">B20+I20</f>
        <v>291913.30000000005</v>
      </c>
      <c r="K20" s="508"/>
      <c r="L20" s="189"/>
      <c r="M20" s="189"/>
    </row>
    <row r="21" spans="1:13" ht="12.75" customHeight="1">
      <c r="A21" s="332" t="s">
        <v>607</v>
      </c>
      <c r="B21" s="503">
        <v>307680.5</v>
      </c>
      <c r="C21" s="503">
        <v>22094.6</v>
      </c>
      <c r="D21" s="503">
        <v>2581.6</v>
      </c>
      <c r="E21" s="503">
        <v>5042.8</v>
      </c>
      <c r="F21" s="503">
        <v>9316.1</v>
      </c>
      <c r="G21" s="503">
        <f t="shared" si="4"/>
        <v>39035.1</v>
      </c>
      <c r="H21" s="503">
        <v>-64693.9</v>
      </c>
      <c r="I21" s="503">
        <f t="shared" si="5"/>
        <v>-25658.800000000003</v>
      </c>
      <c r="J21" s="503">
        <f t="shared" si="6"/>
        <v>282021.7</v>
      </c>
      <c r="K21" s="508"/>
      <c r="L21" s="189"/>
      <c r="M21" s="189"/>
    </row>
    <row r="22" spans="1:13" ht="12.75" customHeight="1">
      <c r="A22" s="175" t="s">
        <v>601</v>
      </c>
      <c r="B22" s="508">
        <v>313613.3</v>
      </c>
      <c r="C22" s="508">
        <v>12186.7</v>
      </c>
      <c r="D22" s="508">
        <v>2584.5</v>
      </c>
      <c r="E22" s="508">
        <v>5039.2</v>
      </c>
      <c r="F22" s="508">
        <v>10135.700000000001</v>
      </c>
      <c r="G22" s="508">
        <f t="shared" si="4"/>
        <v>29946.100000000002</v>
      </c>
      <c r="H22" s="508">
        <v>-62737.8</v>
      </c>
      <c r="I22" s="508">
        <f t="shared" si="5"/>
        <v>-32791.699999999997</v>
      </c>
      <c r="J22" s="508">
        <f t="shared" si="6"/>
        <v>280821.59999999998</v>
      </c>
      <c r="K22" s="508"/>
      <c r="L22" s="189"/>
      <c r="M22" s="189"/>
    </row>
    <row r="23" spans="1:13" ht="12.75" customHeight="1">
      <c r="A23" s="332" t="s">
        <v>608</v>
      </c>
      <c r="B23" s="503">
        <v>322383.40000000002</v>
      </c>
      <c r="C23" s="503">
        <v>11533.9</v>
      </c>
      <c r="D23" s="503">
        <v>2911.9</v>
      </c>
      <c r="E23" s="503">
        <v>5085.2</v>
      </c>
      <c r="F23" s="503">
        <v>11182.9</v>
      </c>
      <c r="G23" s="503">
        <f t="shared" si="4"/>
        <v>30713.9</v>
      </c>
      <c r="H23" s="503">
        <v>-63925.599999999999</v>
      </c>
      <c r="I23" s="503">
        <f t="shared" si="5"/>
        <v>-33211.699999999997</v>
      </c>
      <c r="J23" s="503">
        <f t="shared" si="6"/>
        <v>289171.7</v>
      </c>
      <c r="K23" s="508"/>
      <c r="L23" s="189"/>
      <c r="M23" s="189"/>
    </row>
    <row r="24" spans="1:13" ht="12.75" customHeight="1">
      <c r="A24" s="175" t="s">
        <v>609</v>
      </c>
      <c r="B24" s="508">
        <v>330892.7</v>
      </c>
      <c r="C24" s="508">
        <v>9855.7999999999993</v>
      </c>
      <c r="D24" s="508">
        <v>2873.3</v>
      </c>
      <c r="E24" s="508">
        <v>5047.3999999999996</v>
      </c>
      <c r="F24" s="508">
        <v>13542.6</v>
      </c>
      <c r="G24" s="508">
        <f t="shared" si="4"/>
        <v>31319.1</v>
      </c>
      <c r="H24" s="508">
        <v>-65116.2</v>
      </c>
      <c r="I24" s="508">
        <f t="shared" si="5"/>
        <v>-33797.1</v>
      </c>
      <c r="J24" s="508">
        <f t="shared" si="6"/>
        <v>297095.60000000003</v>
      </c>
      <c r="K24" s="508"/>
      <c r="L24" s="189"/>
      <c r="M24" s="189"/>
    </row>
    <row r="25" spans="1:13" ht="12.75" customHeight="1">
      <c r="A25" s="332" t="s">
        <v>602</v>
      </c>
      <c r="B25" s="503">
        <v>341180.7</v>
      </c>
      <c r="C25" s="503">
        <v>1313.5</v>
      </c>
      <c r="D25" s="503">
        <v>2832.9</v>
      </c>
      <c r="E25" s="503">
        <v>5329.2</v>
      </c>
      <c r="F25" s="503">
        <v>16134.3</v>
      </c>
      <c r="G25" s="503">
        <f t="shared" si="4"/>
        <v>25609.899999999998</v>
      </c>
      <c r="H25" s="503">
        <v>-62736.3</v>
      </c>
      <c r="I25" s="503">
        <f t="shared" si="5"/>
        <v>-37126.400000000009</v>
      </c>
      <c r="J25" s="503">
        <f t="shared" si="6"/>
        <v>304054.3</v>
      </c>
      <c r="K25" s="508"/>
      <c r="L25" s="189"/>
      <c r="M25" s="189"/>
    </row>
    <row r="26" spans="1:13" ht="12.75" customHeight="1">
      <c r="A26" s="175" t="s">
        <v>610</v>
      </c>
      <c r="B26" s="508">
        <v>343476.8</v>
      </c>
      <c r="C26" s="508">
        <v>-206.2</v>
      </c>
      <c r="D26" s="508">
        <v>3177.5</v>
      </c>
      <c r="E26" s="508">
        <v>5363.1</v>
      </c>
      <c r="F26" s="508">
        <v>18118.7</v>
      </c>
      <c r="G26" s="508">
        <f t="shared" si="4"/>
        <v>26453.100000000002</v>
      </c>
      <c r="H26" s="508">
        <v>-68704.7</v>
      </c>
      <c r="I26" s="508">
        <f t="shared" si="5"/>
        <v>-42251.599999999991</v>
      </c>
      <c r="J26" s="508">
        <f t="shared" si="6"/>
        <v>301225.2</v>
      </c>
      <c r="K26" s="508"/>
      <c r="L26" s="189"/>
      <c r="M26" s="189"/>
    </row>
    <row r="27" spans="1:13" ht="12.75" customHeight="1">
      <c r="A27" s="332" t="s">
        <v>611</v>
      </c>
      <c r="B27" s="503">
        <v>347148.6</v>
      </c>
      <c r="C27" s="503">
        <v>-11316.8</v>
      </c>
      <c r="D27" s="503">
        <v>3182.9</v>
      </c>
      <c r="E27" s="503">
        <v>5375.3</v>
      </c>
      <c r="F27" s="503">
        <v>18839.900000000001</v>
      </c>
      <c r="G27" s="503">
        <f t="shared" si="4"/>
        <v>16081.300000000003</v>
      </c>
      <c r="H27" s="503">
        <v>-62736.5</v>
      </c>
      <c r="I27" s="503">
        <f t="shared" si="5"/>
        <v>-46655.199999999997</v>
      </c>
      <c r="J27" s="503">
        <f t="shared" si="6"/>
        <v>300493.39999999997</v>
      </c>
      <c r="K27" s="508"/>
      <c r="L27" s="189"/>
      <c r="M27" s="189"/>
    </row>
    <row r="28" spans="1:13" ht="12.75" customHeight="1">
      <c r="A28" s="175" t="s">
        <v>603</v>
      </c>
      <c r="B28" s="508">
        <v>346841.2</v>
      </c>
      <c r="C28" s="508">
        <v>-9799.1</v>
      </c>
      <c r="D28" s="508">
        <v>3263.5</v>
      </c>
      <c r="E28" s="508">
        <v>5459</v>
      </c>
      <c r="F28" s="508">
        <v>19075</v>
      </c>
      <c r="G28" s="508">
        <f t="shared" si="4"/>
        <v>17998.400000000001</v>
      </c>
      <c r="H28" s="508">
        <v>-61178.400000000001</v>
      </c>
      <c r="I28" s="508">
        <f t="shared" si="5"/>
        <v>-43180</v>
      </c>
      <c r="J28" s="508">
        <f t="shared" si="6"/>
        <v>303661.2</v>
      </c>
      <c r="K28" s="508"/>
      <c r="L28" s="189"/>
      <c r="M28" s="189"/>
    </row>
    <row r="29" spans="1:13" ht="12.75" customHeight="1">
      <c r="A29" s="332" t="s">
        <v>612</v>
      </c>
      <c r="B29" s="503">
        <v>352524.2</v>
      </c>
      <c r="C29" s="503">
        <v>-1952.8</v>
      </c>
      <c r="D29" s="503">
        <v>3189.7</v>
      </c>
      <c r="E29" s="503">
        <v>5517.9</v>
      </c>
      <c r="F29" s="503">
        <v>19328.5</v>
      </c>
      <c r="G29" s="503">
        <f t="shared" si="4"/>
        <v>26083.3</v>
      </c>
      <c r="H29" s="503">
        <v>-62546.1</v>
      </c>
      <c r="I29" s="503">
        <f t="shared" si="5"/>
        <v>-36462.800000000003</v>
      </c>
      <c r="J29" s="503">
        <f t="shared" si="6"/>
        <v>316061.40000000002</v>
      </c>
      <c r="K29" s="508"/>
      <c r="L29" s="189"/>
      <c r="M29" s="189"/>
    </row>
    <row r="30" spans="1:13" ht="12.75" customHeight="1">
      <c r="A30" s="175" t="s">
        <v>613</v>
      </c>
      <c r="B30" s="508">
        <v>361530.9</v>
      </c>
      <c r="C30" s="508">
        <v>-482.4</v>
      </c>
      <c r="D30" s="508">
        <v>3212.2</v>
      </c>
      <c r="E30" s="508">
        <v>5516.2</v>
      </c>
      <c r="F30" s="508">
        <v>20049.5</v>
      </c>
      <c r="G30" s="508">
        <f t="shared" si="4"/>
        <v>28295.5</v>
      </c>
      <c r="H30" s="508">
        <v>-61973.9</v>
      </c>
      <c r="I30" s="508">
        <f t="shared" si="5"/>
        <v>-33678.400000000001</v>
      </c>
      <c r="J30" s="508">
        <f t="shared" si="6"/>
        <v>327852.5</v>
      </c>
      <c r="K30" s="508"/>
      <c r="L30" s="189"/>
      <c r="M30" s="189"/>
    </row>
    <row r="31" spans="1:13" ht="12.75" customHeight="1">
      <c r="A31" s="332" t="s">
        <v>604</v>
      </c>
      <c r="B31" s="503">
        <v>366917.3</v>
      </c>
      <c r="C31" s="503">
        <v>17285.5</v>
      </c>
      <c r="D31" s="503">
        <v>3218.1</v>
      </c>
      <c r="E31" s="503">
        <v>5838.7</v>
      </c>
      <c r="F31" s="503">
        <v>18952.3</v>
      </c>
      <c r="G31" s="503">
        <f t="shared" si="4"/>
        <v>45294.6</v>
      </c>
      <c r="H31" s="503">
        <v>-64140.1</v>
      </c>
      <c r="I31" s="503">
        <f t="shared" si="5"/>
        <v>-18845.5</v>
      </c>
      <c r="J31" s="503">
        <f t="shared" si="6"/>
        <v>348071.8</v>
      </c>
      <c r="K31" s="508"/>
      <c r="L31" s="189"/>
      <c r="M31" s="189"/>
    </row>
    <row r="32" spans="1:13" ht="12.75" customHeight="1">
      <c r="A32" s="204" t="s">
        <v>2166</v>
      </c>
      <c r="B32" s="600">
        <f>B44</f>
        <v>347757.7</v>
      </c>
      <c r="C32" s="600">
        <f t="shared" ref="C32:J32" si="7">C44</f>
        <v>54930</v>
      </c>
      <c r="D32" s="600">
        <f t="shared" si="7"/>
        <v>3435.6</v>
      </c>
      <c r="E32" s="600">
        <f t="shared" si="7"/>
        <v>5935.9</v>
      </c>
      <c r="F32" s="600">
        <f t="shared" si="7"/>
        <v>16073.9</v>
      </c>
      <c r="G32" s="600">
        <f t="shared" si="7"/>
        <v>80375.399999999994</v>
      </c>
      <c r="H32" s="600">
        <f t="shared" si="7"/>
        <v>-80971.099999999977</v>
      </c>
      <c r="I32" s="600">
        <f t="shared" si="7"/>
        <v>-595.69999999998254</v>
      </c>
      <c r="J32" s="600">
        <f t="shared" si="7"/>
        <v>347162</v>
      </c>
      <c r="K32" s="508"/>
      <c r="L32" s="189"/>
      <c r="M32" s="189"/>
    </row>
    <row r="33" spans="1:13" ht="12.75" customHeight="1">
      <c r="A33" s="332" t="s">
        <v>606</v>
      </c>
      <c r="B33" s="503">
        <v>369407.2</v>
      </c>
      <c r="C33" s="503">
        <v>12440.4</v>
      </c>
      <c r="D33" s="503">
        <v>3170.3</v>
      </c>
      <c r="E33" s="503">
        <v>5821.4</v>
      </c>
      <c r="F33" s="503">
        <v>19067.400000000001</v>
      </c>
      <c r="G33" s="503">
        <f t="shared" si="4"/>
        <v>40499.5</v>
      </c>
      <c r="H33" s="503">
        <v>-60355.5</v>
      </c>
      <c r="I33" s="503">
        <f t="shared" si="5"/>
        <v>-19856</v>
      </c>
      <c r="J33" s="503">
        <f t="shared" si="6"/>
        <v>349551.2</v>
      </c>
      <c r="K33" s="508"/>
      <c r="L33" s="189"/>
      <c r="M33" s="189"/>
    </row>
    <row r="34" spans="1:13" ht="12.75" customHeight="1">
      <c r="A34" s="175" t="s">
        <v>607</v>
      </c>
      <c r="B34" s="508">
        <v>370193.5</v>
      </c>
      <c r="C34" s="508">
        <v>6278.9</v>
      </c>
      <c r="D34" s="508">
        <v>3347.7</v>
      </c>
      <c r="E34" s="508">
        <v>5879.3</v>
      </c>
      <c r="F34" s="508">
        <v>18704.3</v>
      </c>
      <c r="G34" s="508">
        <f t="shared" si="4"/>
        <v>34210.199999999997</v>
      </c>
      <c r="H34" s="508">
        <v>-78542.7</v>
      </c>
      <c r="I34" s="508">
        <f t="shared" si="5"/>
        <v>-44332.5</v>
      </c>
      <c r="J34" s="508">
        <f t="shared" si="6"/>
        <v>325861</v>
      </c>
      <c r="K34" s="508"/>
      <c r="L34" s="189"/>
      <c r="M34" s="189"/>
    </row>
    <row r="35" spans="1:13" ht="12.75" customHeight="1">
      <c r="A35" s="332" t="s">
        <v>601</v>
      </c>
      <c r="B35" s="503">
        <v>361730.3</v>
      </c>
      <c r="C35" s="503">
        <v>7273.4</v>
      </c>
      <c r="D35" s="503">
        <v>3303.2</v>
      </c>
      <c r="E35" s="503">
        <v>5829.4</v>
      </c>
      <c r="F35" s="503">
        <v>18375.5</v>
      </c>
      <c r="G35" s="503">
        <f t="shared" si="4"/>
        <v>34781.5</v>
      </c>
      <c r="H35" s="503">
        <v>-73177.5</v>
      </c>
      <c r="I35" s="503">
        <f t="shared" si="5"/>
        <v>-38396</v>
      </c>
      <c r="J35" s="503">
        <f t="shared" si="6"/>
        <v>323334.3</v>
      </c>
      <c r="K35" s="508"/>
      <c r="L35" s="189"/>
      <c r="M35" s="189"/>
    </row>
    <row r="36" spans="1:13" ht="12.75" customHeight="1">
      <c r="A36" s="175" t="s">
        <v>608</v>
      </c>
      <c r="B36" s="508">
        <v>358585.9</v>
      </c>
      <c r="C36" s="508">
        <v>8393.7000000000007</v>
      </c>
      <c r="D36" s="508">
        <v>3298.4</v>
      </c>
      <c r="E36" s="508">
        <v>5762.2</v>
      </c>
      <c r="F36" s="508">
        <v>17495.8</v>
      </c>
      <c r="G36" s="508">
        <f t="shared" si="4"/>
        <v>34950.1</v>
      </c>
      <c r="H36" s="508">
        <v>-73577.8</v>
      </c>
      <c r="I36" s="508">
        <f t="shared" si="5"/>
        <v>-38627.700000000004</v>
      </c>
      <c r="J36" s="508">
        <f t="shared" si="6"/>
        <v>319958.2</v>
      </c>
      <c r="K36" s="508"/>
      <c r="L36" s="189"/>
      <c r="M36" s="189"/>
    </row>
    <row r="37" spans="1:13" ht="12.75" customHeight="1">
      <c r="A37" s="332" t="s">
        <v>609</v>
      </c>
      <c r="B37" s="503">
        <v>352218.6</v>
      </c>
      <c r="C37" s="503">
        <v>17488.099999999999</v>
      </c>
      <c r="D37" s="503">
        <v>3267.9</v>
      </c>
      <c r="E37" s="503">
        <v>5720.2</v>
      </c>
      <c r="F37" s="503">
        <v>17379.3</v>
      </c>
      <c r="G37" s="503">
        <f t="shared" si="4"/>
        <v>43855.5</v>
      </c>
      <c r="H37" s="503">
        <v>-63585.3</v>
      </c>
      <c r="I37" s="503">
        <f t="shared" si="5"/>
        <v>-19729.800000000003</v>
      </c>
      <c r="J37" s="503">
        <f t="shared" si="6"/>
        <v>332488.8</v>
      </c>
      <c r="K37" s="508"/>
      <c r="L37" s="189"/>
      <c r="M37" s="189"/>
    </row>
    <row r="38" spans="1:13" ht="12.75" customHeight="1">
      <c r="A38" s="175" t="s">
        <v>602</v>
      </c>
      <c r="B38" s="508">
        <v>354607.3</v>
      </c>
      <c r="C38" s="508">
        <v>5463.5</v>
      </c>
      <c r="D38" s="508">
        <v>3146.3</v>
      </c>
      <c r="E38" s="508">
        <v>5697.2</v>
      </c>
      <c r="F38" s="508">
        <v>16597.599999999999</v>
      </c>
      <c r="G38" s="508">
        <f t="shared" si="4"/>
        <v>30904.6</v>
      </c>
      <c r="H38" s="508">
        <v>-61845.599999999999</v>
      </c>
      <c r="I38" s="508">
        <f t="shared" si="5"/>
        <v>-30941</v>
      </c>
      <c r="J38" s="508">
        <f t="shared" si="6"/>
        <v>323666.3</v>
      </c>
      <c r="K38" s="508"/>
      <c r="L38" s="189"/>
      <c r="M38" s="189"/>
    </row>
    <row r="39" spans="1:13" ht="12.75" customHeight="1">
      <c r="A39" s="332" t="s">
        <v>610</v>
      </c>
      <c r="B39" s="503">
        <v>351964.2</v>
      </c>
      <c r="C39" s="503">
        <v>9036.5</v>
      </c>
      <c r="D39" s="503">
        <v>3478.9</v>
      </c>
      <c r="E39" s="503">
        <v>5733.5</v>
      </c>
      <c r="F39" s="503">
        <v>15985.2</v>
      </c>
      <c r="G39" s="503">
        <f t="shared" si="4"/>
        <v>34234.100000000006</v>
      </c>
      <c r="H39" s="503">
        <v>-62899.4</v>
      </c>
      <c r="I39" s="503">
        <f t="shared" si="5"/>
        <v>-28665.299999999996</v>
      </c>
      <c r="J39" s="503">
        <f t="shared" si="6"/>
        <v>323298.90000000002</v>
      </c>
      <c r="K39" s="508"/>
      <c r="L39" s="189"/>
      <c r="M39" s="189"/>
    </row>
    <row r="40" spans="1:13" ht="12.75" customHeight="1">
      <c r="A40" s="175" t="s">
        <v>611</v>
      </c>
      <c r="B40" s="508">
        <v>351813.1</v>
      </c>
      <c r="C40" s="508">
        <v>8058.5</v>
      </c>
      <c r="D40" s="508">
        <v>3485.2</v>
      </c>
      <c r="E40" s="508">
        <v>5766.6</v>
      </c>
      <c r="F40" s="508">
        <v>15583.3</v>
      </c>
      <c r="G40" s="508">
        <f t="shared" si="4"/>
        <v>32893.600000000006</v>
      </c>
      <c r="H40" s="508">
        <v>-62421.599999999999</v>
      </c>
      <c r="I40" s="508">
        <f t="shared" si="5"/>
        <v>-29527.999999999993</v>
      </c>
      <c r="J40" s="508">
        <f t="shared" si="6"/>
        <v>322285.09999999998</v>
      </c>
      <c r="K40" s="508"/>
      <c r="L40" s="189"/>
      <c r="M40" s="189"/>
    </row>
    <row r="41" spans="1:13" ht="12.75" customHeight="1">
      <c r="A41" s="332" t="s">
        <v>603</v>
      </c>
      <c r="B41" s="503">
        <v>344756</v>
      </c>
      <c r="C41" s="503">
        <v>12804.3</v>
      </c>
      <c r="D41" s="503">
        <v>3488.5</v>
      </c>
      <c r="E41" s="503">
        <v>5784.3</v>
      </c>
      <c r="F41" s="503">
        <v>16138.8</v>
      </c>
      <c r="G41" s="503">
        <f t="shared" si="4"/>
        <v>38215.899999999994</v>
      </c>
      <c r="H41" s="503">
        <v>-61815.7</v>
      </c>
      <c r="I41" s="503">
        <f t="shared" si="5"/>
        <v>-23599.800000000003</v>
      </c>
      <c r="J41" s="503">
        <f t="shared" si="6"/>
        <v>321156.2</v>
      </c>
      <c r="K41" s="508"/>
      <c r="L41" s="189"/>
      <c r="M41" s="189"/>
    </row>
    <row r="42" spans="1:13" ht="12.75" customHeight="1">
      <c r="A42" s="175" t="s">
        <v>612</v>
      </c>
      <c r="B42" s="508">
        <v>337440.8</v>
      </c>
      <c r="C42" s="508">
        <v>32555.3</v>
      </c>
      <c r="D42" s="508">
        <v>3494.9</v>
      </c>
      <c r="E42" s="508">
        <v>5897.9</v>
      </c>
      <c r="F42" s="508">
        <v>20880.900000000001</v>
      </c>
      <c r="G42" s="508">
        <f t="shared" si="4"/>
        <v>62829</v>
      </c>
      <c r="H42" s="508">
        <v>-60480.5</v>
      </c>
      <c r="I42" s="508">
        <f t="shared" si="5"/>
        <v>2348.5</v>
      </c>
      <c r="J42" s="508">
        <f t="shared" si="6"/>
        <v>339789.3</v>
      </c>
      <c r="K42" s="508"/>
      <c r="L42" s="189"/>
      <c r="M42" s="189"/>
    </row>
    <row r="43" spans="1:13" ht="12.75" customHeight="1">
      <c r="A43" s="332" t="s">
        <v>613</v>
      </c>
      <c r="B43" s="503">
        <v>343397.9</v>
      </c>
      <c r="C43" s="503">
        <v>28363.5</v>
      </c>
      <c r="D43" s="503">
        <v>3429.6</v>
      </c>
      <c r="E43" s="503">
        <v>5840</v>
      </c>
      <c r="F43" s="503">
        <v>22566.400000000001</v>
      </c>
      <c r="G43" s="503">
        <f t="shared" si="4"/>
        <v>60199.5</v>
      </c>
      <c r="H43" s="503">
        <v>-72768</v>
      </c>
      <c r="I43" s="503">
        <f t="shared" si="5"/>
        <v>-12568.5</v>
      </c>
      <c r="J43" s="503">
        <f t="shared" si="6"/>
        <v>330829.40000000002</v>
      </c>
      <c r="K43" s="508"/>
      <c r="L43" s="189"/>
      <c r="M43" s="189"/>
    </row>
    <row r="44" spans="1:13" ht="12.75" customHeight="1">
      <c r="A44" s="175" t="s">
        <v>604</v>
      </c>
      <c r="B44" s="508">
        <v>347757.7</v>
      </c>
      <c r="C44" s="508">
        <v>54930</v>
      </c>
      <c r="D44" s="508">
        <v>3435.6</v>
      </c>
      <c r="E44" s="508">
        <v>5935.9</v>
      </c>
      <c r="F44" s="508">
        <v>16073.9</v>
      </c>
      <c r="G44" s="508">
        <f t="shared" si="4"/>
        <v>80375.399999999994</v>
      </c>
      <c r="H44" s="508">
        <v>-80971.099999999977</v>
      </c>
      <c r="I44" s="508">
        <f t="shared" si="5"/>
        <v>-595.69999999998254</v>
      </c>
      <c r="J44" s="508">
        <f>B44+I44</f>
        <v>347162</v>
      </c>
      <c r="K44" s="508"/>
      <c r="L44" s="189"/>
      <c r="M44" s="189"/>
    </row>
    <row r="45" spans="1:13" ht="12.75" customHeight="1">
      <c r="A45" s="334" t="s">
        <v>2482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8"/>
      <c r="L45" s="189"/>
      <c r="M45" s="189"/>
    </row>
    <row r="46" spans="1:13" ht="12.75" customHeight="1">
      <c r="A46" s="175" t="s">
        <v>606</v>
      </c>
      <c r="B46" s="508">
        <v>341807.3</v>
      </c>
      <c r="C46" s="508">
        <v>52719.199999999997</v>
      </c>
      <c r="D46" s="508">
        <v>3428.2</v>
      </c>
      <c r="E46" s="508">
        <v>5937.6</v>
      </c>
      <c r="F46" s="508">
        <v>26301.599999999999</v>
      </c>
      <c r="G46" s="508">
        <f t="shared" si="4"/>
        <v>88386.599999999991</v>
      </c>
      <c r="H46" s="508">
        <v>-85262.9</v>
      </c>
      <c r="I46" s="508">
        <f t="shared" si="5"/>
        <v>3123.6999999999971</v>
      </c>
      <c r="J46" s="508">
        <f t="shared" si="6"/>
        <v>344931</v>
      </c>
      <c r="K46" s="508"/>
      <c r="L46" s="189"/>
      <c r="M46" s="189"/>
    </row>
    <row r="47" spans="1:13" ht="12.75" customHeight="1">
      <c r="A47" s="332" t="s">
        <v>607</v>
      </c>
      <c r="B47" s="503">
        <v>323765.90000000002</v>
      </c>
      <c r="C47" s="503">
        <v>61832.1</v>
      </c>
      <c r="D47" s="503">
        <v>3426.3</v>
      </c>
      <c r="E47" s="503">
        <v>5989</v>
      </c>
      <c r="F47" s="503">
        <v>29865.7</v>
      </c>
      <c r="G47" s="503">
        <f t="shared" si="4"/>
        <v>101113.09999999999</v>
      </c>
      <c r="H47" s="503">
        <v>-83542.5</v>
      </c>
      <c r="I47" s="503">
        <f t="shared" si="5"/>
        <v>17570.599999999991</v>
      </c>
      <c r="J47" s="503">
        <f t="shared" si="6"/>
        <v>341336.5</v>
      </c>
      <c r="K47" s="508"/>
      <c r="L47" s="189"/>
      <c r="M47" s="189"/>
    </row>
    <row r="48" spans="1:13" ht="12.75" customHeight="1">
      <c r="A48" s="175" t="s">
        <v>601</v>
      </c>
      <c r="B48" s="508">
        <v>318925.90000000002</v>
      </c>
      <c r="C48" s="508">
        <v>71663.399999999994</v>
      </c>
      <c r="D48" s="508">
        <v>3632.8</v>
      </c>
      <c r="E48" s="508">
        <v>6018.9</v>
      </c>
      <c r="F48" s="508">
        <v>27347.8</v>
      </c>
      <c r="G48" s="508">
        <f t="shared" si="4"/>
        <v>108662.9</v>
      </c>
      <c r="H48" s="508">
        <v>-87508.4</v>
      </c>
      <c r="I48" s="508">
        <f t="shared" si="5"/>
        <v>21154.5</v>
      </c>
      <c r="J48" s="508">
        <f t="shared" si="6"/>
        <v>340080.4</v>
      </c>
      <c r="K48" s="508"/>
      <c r="L48" s="189"/>
      <c r="M48" s="189"/>
    </row>
    <row r="49" spans="1:13" ht="12.75" customHeight="1" thickBot="1">
      <c r="A49" s="1682" t="s">
        <v>608</v>
      </c>
      <c r="B49" s="1053">
        <v>309398.3</v>
      </c>
      <c r="C49" s="1053">
        <v>83478.7</v>
      </c>
      <c r="D49" s="1053">
        <v>3631.7</v>
      </c>
      <c r="E49" s="1053">
        <v>6147.8</v>
      </c>
      <c r="F49" s="1053">
        <v>23915.7</v>
      </c>
      <c r="G49" s="1053">
        <f t="shared" si="4"/>
        <v>117173.9</v>
      </c>
      <c r="H49" s="1053">
        <v>-91095.6</v>
      </c>
      <c r="I49" s="1053">
        <f t="shared" si="5"/>
        <v>26078.299999999988</v>
      </c>
      <c r="J49" s="1053">
        <f t="shared" si="6"/>
        <v>335476.59999999998</v>
      </c>
      <c r="K49" s="508"/>
      <c r="L49" s="189"/>
      <c r="M49" s="189"/>
    </row>
    <row r="50" spans="1:13">
      <c r="A50" s="563" t="s">
        <v>1514</v>
      </c>
      <c r="B50" s="287" t="s">
        <v>1367</v>
      </c>
      <c r="C50" s="287"/>
      <c r="D50" s="287"/>
      <c r="E50" s="287"/>
      <c r="F50" s="287"/>
      <c r="G50" s="287"/>
      <c r="H50" s="287"/>
      <c r="I50" s="296" t="s">
        <v>1469</v>
      </c>
      <c r="J50" s="287"/>
      <c r="K50" s="189"/>
      <c r="L50" s="189"/>
    </row>
    <row r="51" spans="1:13">
      <c r="A51" s="243"/>
      <c r="B51" s="243"/>
      <c r="C51" s="243"/>
      <c r="D51" s="243"/>
      <c r="E51" s="243"/>
      <c r="F51" s="243"/>
      <c r="G51" s="243"/>
      <c r="H51" s="243"/>
      <c r="I51" s="243"/>
      <c r="J51" s="674"/>
      <c r="K51" s="189"/>
      <c r="L51" s="189"/>
    </row>
    <row r="52" spans="1:13">
      <c r="B52" s="243"/>
      <c r="L52" s="189"/>
    </row>
    <row r="55" spans="1:13">
      <c r="B55" s="189"/>
      <c r="C55" s="189"/>
      <c r="D55" s="189"/>
      <c r="E55" s="189"/>
      <c r="F55" s="189"/>
      <c r="G55" s="189"/>
      <c r="H55" s="189"/>
      <c r="I55" s="189"/>
      <c r="J55" s="189"/>
    </row>
    <row r="65" spans="2:10">
      <c r="B65" s="189"/>
      <c r="C65" s="189"/>
      <c r="D65" s="189"/>
      <c r="E65" s="189"/>
      <c r="F65" s="189"/>
      <c r="G65" s="189"/>
      <c r="H65" s="189"/>
      <c r="I65" s="189"/>
      <c r="J65" s="189"/>
    </row>
    <row r="66" spans="2:10">
      <c r="B66" s="189"/>
      <c r="C66" s="189"/>
      <c r="D66" s="189"/>
      <c r="E66" s="189"/>
      <c r="F66" s="189"/>
      <c r="G66" s="189"/>
      <c r="H66" s="189"/>
      <c r="I66" s="189"/>
      <c r="J66" s="189"/>
    </row>
    <row r="67" spans="2:10">
      <c r="B67" s="189"/>
      <c r="C67" s="189"/>
      <c r="D67" s="189"/>
      <c r="E67" s="189"/>
      <c r="F67" s="189"/>
      <c r="G67" s="189"/>
      <c r="H67" s="189"/>
      <c r="I67" s="189"/>
      <c r="J67" s="189"/>
    </row>
    <row r="68" spans="2:10">
      <c r="B68" s="189"/>
      <c r="C68" s="189"/>
      <c r="D68" s="189"/>
      <c r="E68" s="189"/>
      <c r="F68" s="189"/>
      <c r="G68" s="189"/>
      <c r="H68" s="189"/>
      <c r="I68" s="189"/>
      <c r="J68" s="189"/>
    </row>
    <row r="69" spans="2:10">
      <c r="B69" s="189"/>
      <c r="C69" s="189"/>
      <c r="D69" s="189"/>
      <c r="E69" s="189"/>
      <c r="F69" s="189"/>
      <c r="G69" s="189"/>
      <c r="H69" s="189"/>
      <c r="I69" s="189"/>
      <c r="J69" s="189"/>
    </row>
    <row r="70" spans="2:10">
      <c r="B70" s="189"/>
      <c r="C70" s="189"/>
      <c r="D70" s="189"/>
      <c r="E70" s="189"/>
      <c r="F70" s="189"/>
      <c r="G70" s="189"/>
      <c r="H70" s="189"/>
      <c r="I70" s="189"/>
      <c r="J70" s="189"/>
    </row>
    <row r="71" spans="2:10">
      <c r="B71" s="189"/>
      <c r="C71" s="189"/>
      <c r="D71" s="189"/>
      <c r="E71" s="189"/>
      <c r="F71" s="189"/>
      <c r="G71" s="189"/>
      <c r="H71" s="189"/>
      <c r="I71" s="189"/>
      <c r="J71" s="189"/>
    </row>
    <row r="72" spans="2:10">
      <c r="B72" s="189"/>
      <c r="C72" s="189"/>
      <c r="D72" s="189"/>
      <c r="E72" s="189"/>
      <c r="F72" s="189"/>
      <c r="G72" s="189"/>
      <c r="H72" s="189"/>
      <c r="I72" s="189"/>
      <c r="J72" s="189"/>
    </row>
    <row r="73" spans="2:10">
      <c r="B73" s="189"/>
      <c r="C73" s="189"/>
      <c r="D73" s="189"/>
      <c r="E73" s="189"/>
      <c r="F73" s="189"/>
      <c r="G73" s="189"/>
      <c r="H73" s="189"/>
      <c r="I73" s="189"/>
      <c r="J73" s="189"/>
    </row>
    <row r="74" spans="2:10">
      <c r="B74" s="189"/>
      <c r="C74" s="189"/>
      <c r="D74" s="189"/>
      <c r="E74" s="189"/>
      <c r="F74" s="189"/>
      <c r="G74" s="189"/>
      <c r="H74" s="189"/>
      <c r="I74" s="189"/>
      <c r="J74" s="189"/>
    </row>
    <row r="75" spans="2:10">
      <c r="B75" s="189"/>
      <c r="C75" s="189"/>
      <c r="D75" s="189"/>
      <c r="E75" s="189"/>
      <c r="F75" s="189"/>
      <c r="G75" s="189"/>
      <c r="H75" s="189"/>
      <c r="I75" s="189"/>
      <c r="J75" s="18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45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7"/>
  <sheetViews>
    <sheetView zoomScale="180" zoomScaleNormal="180" workbookViewId="0">
      <pane xSplit="1" ySplit="7" topLeftCell="F45" activePane="bottomRight" state="frozen"/>
      <selection activeCell="F85" sqref="F85"/>
      <selection pane="topRight" activeCell="F85" sqref="F85"/>
      <selection pane="bottomLeft" activeCell="F85" sqref="F85"/>
      <selection pane="bottomRight" activeCell="H51" sqref="H51:I54"/>
    </sheetView>
  </sheetViews>
  <sheetFormatPr defaultColWidth="9.140625" defaultRowHeight="11.25"/>
  <cols>
    <col min="1" max="1" width="8" style="568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8" customWidth="1"/>
    <col min="21" max="22" width="10.85546875" style="177" bestFit="1" customWidth="1"/>
    <col min="23" max="23" width="9.140625" style="177"/>
    <col min="24" max="24" width="11.42578125" style="177" bestFit="1" customWidth="1"/>
    <col min="25" max="16384" width="9.140625" style="177"/>
  </cols>
  <sheetData>
    <row r="1" spans="1:24" s="564" customFormat="1" ht="16.5" customHeight="1">
      <c r="B1" s="565"/>
      <c r="C1" s="565"/>
      <c r="D1" s="565"/>
      <c r="E1" s="565"/>
      <c r="F1" s="565"/>
      <c r="G1" s="565"/>
      <c r="H1" s="565"/>
      <c r="I1" s="566"/>
      <c r="J1" s="1938" t="s">
        <v>475</v>
      </c>
      <c r="K1" s="1938"/>
      <c r="L1" s="1938"/>
      <c r="M1" s="1939" t="s">
        <v>1498</v>
      </c>
      <c r="N1" s="1939"/>
      <c r="O1" s="567"/>
      <c r="P1" s="567"/>
      <c r="Q1" s="567"/>
      <c r="R1" s="567"/>
      <c r="S1" s="1936" t="s">
        <v>152</v>
      </c>
      <c r="T1" s="1936"/>
    </row>
    <row r="2" spans="1:24" ht="12" customHeight="1">
      <c r="B2" s="569"/>
      <c r="C2" s="569"/>
      <c r="D2" s="569"/>
      <c r="E2" s="569"/>
      <c r="F2" s="569"/>
      <c r="G2" s="569"/>
      <c r="L2" s="569"/>
      <c r="M2" s="569"/>
      <c r="N2" s="570"/>
      <c r="O2" s="569"/>
      <c r="P2" s="569"/>
      <c r="Q2" s="569"/>
      <c r="R2" s="569"/>
      <c r="S2" s="1941" t="s">
        <v>24</v>
      </c>
      <c r="T2" s="1941"/>
    </row>
    <row r="3" spans="1:24" s="571" customFormat="1" ht="12.75" customHeight="1">
      <c r="A3" s="1943" t="s">
        <v>999</v>
      </c>
      <c r="B3" s="1937" t="s">
        <v>528</v>
      </c>
      <c r="C3" s="1937"/>
      <c r="D3" s="1937"/>
      <c r="E3" s="1937"/>
      <c r="F3" s="1952" t="s">
        <v>617</v>
      </c>
      <c r="G3" s="1942"/>
      <c r="H3" s="1942"/>
      <c r="I3" s="1942"/>
      <c r="J3" s="1942"/>
      <c r="K3" s="1942"/>
      <c r="L3" s="1942"/>
      <c r="M3" s="1942" t="s">
        <v>616</v>
      </c>
      <c r="N3" s="1942"/>
      <c r="O3" s="1942"/>
      <c r="P3" s="1127"/>
      <c r="Q3" s="1934" t="s">
        <v>1001</v>
      </c>
      <c r="R3" s="1934" t="s">
        <v>1002</v>
      </c>
      <c r="S3" s="1940" t="s">
        <v>1499</v>
      </c>
      <c r="T3" s="1949" t="s">
        <v>521</v>
      </c>
    </row>
    <row r="4" spans="1:24" s="572" customFormat="1" ht="15" customHeight="1">
      <c r="A4" s="1944"/>
      <c r="B4" s="1934" t="s">
        <v>857</v>
      </c>
      <c r="C4" s="1933" t="s">
        <v>165</v>
      </c>
      <c r="D4" s="1949" t="s">
        <v>396</v>
      </c>
      <c r="E4" s="1934" t="s">
        <v>858</v>
      </c>
      <c r="F4" s="1946" t="s">
        <v>441</v>
      </c>
      <c r="G4" s="1947"/>
      <c r="H4" s="1947"/>
      <c r="I4" s="1947"/>
      <c r="J4" s="1947"/>
      <c r="K4" s="1947"/>
      <c r="L4" s="1948"/>
      <c r="M4" s="1937" t="s">
        <v>625</v>
      </c>
      <c r="N4" s="1937"/>
      <c r="O4" s="1937"/>
      <c r="P4" s="1934" t="s">
        <v>1000</v>
      </c>
      <c r="Q4" s="1934"/>
      <c r="R4" s="1934"/>
      <c r="S4" s="1940"/>
      <c r="T4" s="1950"/>
    </row>
    <row r="5" spans="1:24" s="572" customFormat="1" ht="15" customHeight="1">
      <c r="A5" s="1944"/>
      <c r="B5" s="1934"/>
      <c r="C5" s="1933"/>
      <c r="D5" s="1950"/>
      <c r="E5" s="1934"/>
      <c r="F5" s="1937" t="s">
        <v>1484</v>
      </c>
      <c r="G5" s="1937"/>
      <c r="H5" s="1937"/>
      <c r="I5" s="1937"/>
      <c r="J5" s="1937" t="s">
        <v>531</v>
      </c>
      <c r="K5" s="1937"/>
      <c r="L5" s="1937"/>
      <c r="M5" s="1949" t="s">
        <v>861</v>
      </c>
      <c r="N5" s="1949" t="s">
        <v>165</v>
      </c>
      <c r="O5" s="1949" t="s">
        <v>862</v>
      </c>
      <c r="P5" s="1934"/>
      <c r="Q5" s="1934"/>
      <c r="R5" s="1934"/>
      <c r="S5" s="1940"/>
      <c r="T5" s="1950"/>
    </row>
    <row r="6" spans="1:24" s="572" customFormat="1" ht="34.5" customHeight="1">
      <c r="A6" s="1944"/>
      <c r="B6" s="1934"/>
      <c r="C6" s="1933"/>
      <c r="D6" s="1951"/>
      <c r="E6" s="1934"/>
      <c r="F6" s="1097" t="s">
        <v>119</v>
      </c>
      <c r="G6" s="573" t="s">
        <v>165</v>
      </c>
      <c r="H6" s="1097" t="s">
        <v>1380</v>
      </c>
      <c r="I6" s="1097" t="s">
        <v>859</v>
      </c>
      <c r="J6" s="1097" t="s">
        <v>119</v>
      </c>
      <c r="K6" s="574" t="s">
        <v>165</v>
      </c>
      <c r="L6" s="1097" t="s">
        <v>860</v>
      </c>
      <c r="M6" s="1951"/>
      <c r="N6" s="1951"/>
      <c r="O6" s="1951"/>
      <c r="P6" s="1934"/>
      <c r="Q6" s="1934"/>
      <c r="R6" s="1934"/>
      <c r="S6" s="1940"/>
      <c r="T6" s="1950"/>
    </row>
    <row r="7" spans="1:24" s="575" customFormat="1" ht="10.5">
      <c r="A7" s="1945"/>
      <c r="B7" s="273">
        <v>1</v>
      </c>
      <c r="C7" s="273">
        <v>2</v>
      </c>
      <c r="D7" s="273">
        <v>3</v>
      </c>
      <c r="E7" s="273">
        <v>4</v>
      </c>
      <c r="F7" s="273">
        <v>5</v>
      </c>
      <c r="G7" s="273">
        <v>6</v>
      </c>
      <c r="H7" s="273">
        <v>7</v>
      </c>
      <c r="I7" s="273">
        <v>8</v>
      </c>
      <c r="J7" s="273">
        <v>9</v>
      </c>
      <c r="K7" s="273">
        <v>10</v>
      </c>
      <c r="L7" s="273">
        <v>11</v>
      </c>
      <c r="M7" s="273">
        <v>12</v>
      </c>
      <c r="N7" s="273">
        <v>13</v>
      </c>
      <c r="O7" s="273">
        <v>14</v>
      </c>
      <c r="P7" s="273">
        <v>15</v>
      </c>
      <c r="Q7" s="273">
        <v>16</v>
      </c>
      <c r="R7" s="273">
        <v>17</v>
      </c>
      <c r="S7" s="1135">
        <v>18</v>
      </c>
      <c r="T7" s="1951"/>
    </row>
    <row r="8" spans="1:24" ht="11.85" customHeight="1">
      <c r="A8" s="1120" t="s">
        <v>81</v>
      </c>
      <c r="B8" s="440">
        <v>67049.8</v>
      </c>
      <c r="C8" s="440">
        <v>-221.7</v>
      </c>
      <c r="D8" s="440">
        <v>-5768.2</v>
      </c>
      <c r="E8" s="440">
        <v>61059.900000000009</v>
      </c>
      <c r="F8" s="1169">
        <v>54225</v>
      </c>
      <c r="G8" s="440">
        <v>175.5</v>
      </c>
      <c r="H8" s="440">
        <v>61381.4</v>
      </c>
      <c r="I8" s="440">
        <f t="shared" ref="I8:I10" si="0">F8+G8+H8</f>
        <v>115781.9</v>
      </c>
      <c r="J8" s="1169">
        <v>12762.9</v>
      </c>
      <c r="K8" s="440">
        <v>93.8</v>
      </c>
      <c r="L8" s="440">
        <f t="shared" ref="L8:L10" si="1">J8+K8</f>
        <v>12856.699999999999</v>
      </c>
      <c r="M8" s="440">
        <v>261852</v>
      </c>
      <c r="N8" s="440">
        <v>23541.3</v>
      </c>
      <c r="O8" s="440">
        <v>285393.3</v>
      </c>
      <c r="P8" s="440">
        <f t="shared" ref="P8:P10" si="2">I8+L8+O8</f>
        <v>414031.89999999997</v>
      </c>
      <c r="Q8" s="558">
        <v>-45754.599999999977</v>
      </c>
      <c r="R8" s="440">
        <f t="shared" ref="R8:R10" si="3">P8+Q8</f>
        <v>368277.3</v>
      </c>
      <c r="S8" s="440">
        <f t="shared" ref="S8:S10" si="4">E8+R8</f>
        <v>429337.2</v>
      </c>
      <c r="T8" s="265" t="s">
        <v>81</v>
      </c>
      <c r="U8" s="189"/>
      <c r="V8" s="189"/>
      <c r="W8" s="189"/>
      <c r="X8" s="189"/>
    </row>
    <row r="9" spans="1:24" ht="11.85" customHeight="1">
      <c r="A9" s="338" t="s">
        <v>199</v>
      </c>
      <c r="B9" s="698">
        <v>70573.399999999994</v>
      </c>
      <c r="C9" s="698">
        <v>-404.7</v>
      </c>
      <c r="D9" s="698">
        <v>-6049.4</v>
      </c>
      <c r="E9" s="698">
        <v>64119.299999999996</v>
      </c>
      <c r="F9" s="1192">
        <v>73200.600000000006</v>
      </c>
      <c r="G9" s="698">
        <v>372.6</v>
      </c>
      <c r="H9" s="698">
        <v>63438.3</v>
      </c>
      <c r="I9" s="698">
        <f t="shared" si="0"/>
        <v>137011.5</v>
      </c>
      <c r="J9" s="1192">
        <v>16901.400000000001</v>
      </c>
      <c r="K9" s="698">
        <v>108</v>
      </c>
      <c r="L9" s="698">
        <f t="shared" si="1"/>
        <v>17009.400000000001</v>
      </c>
      <c r="M9" s="698">
        <v>332161.3</v>
      </c>
      <c r="N9" s="698">
        <v>27348.5</v>
      </c>
      <c r="O9" s="698">
        <v>359509.8</v>
      </c>
      <c r="P9" s="698">
        <f t="shared" si="2"/>
        <v>513530.69999999995</v>
      </c>
      <c r="Q9" s="697">
        <v>-67193.599999999977</v>
      </c>
      <c r="R9" s="698">
        <f t="shared" si="3"/>
        <v>446337.1</v>
      </c>
      <c r="S9" s="698">
        <f t="shared" si="4"/>
        <v>510456.39999999997</v>
      </c>
      <c r="T9" s="339" t="s">
        <v>199</v>
      </c>
      <c r="U9" s="189"/>
      <c r="V9" s="189"/>
      <c r="W9" s="189"/>
      <c r="X9" s="189"/>
    </row>
    <row r="10" spans="1:24" ht="11.85" customHeight="1">
      <c r="A10" s="1120" t="s">
        <v>792</v>
      </c>
      <c r="B10" s="440">
        <v>78818.7</v>
      </c>
      <c r="C10" s="440">
        <v>-378.5</v>
      </c>
      <c r="D10" s="440">
        <v>-6273.8</v>
      </c>
      <c r="E10" s="440">
        <v>72166.399999999994</v>
      </c>
      <c r="F10" s="1191">
        <v>91700.5</v>
      </c>
      <c r="G10" s="440">
        <v>261.89999999999998</v>
      </c>
      <c r="H10" s="440">
        <v>63861.3</v>
      </c>
      <c r="I10" s="440">
        <f t="shared" si="0"/>
        <v>155823.70000000001</v>
      </c>
      <c r="J10" s="1191">
        <v>15284.1</v>
      </c>
      <c r="K10" s="440">
        <v>46</v>
      </c>
      <c r="L10" s="440">
        <f t="shared" si="1"/>
        <v>15330.1</v>
      </c>
      <c r="M10" s="440">
        <v>398311.5</v>
      </c>
      <c r="N10" s="440">
        <v>31174.9</v>
      </c>
      <c r="O10" s="440">
        <v>429486.4</v>
      </c>
      <c r="P10" s="440">
        <f t="shared" si="2"/>
        <v>600640.20000000007</v>
      </c>
      <c r="Q10" s="558">
        <v>-82966.200000000099</v>
      </c>
      <c r="R10" s="440">
        <f t="shared" si="3"/>
        <v>517674</v>
      </c>
      <c r="S10" s="440">
        <f t="shared" si="4"/>
        <v>589840.4</v>
      </c>
      <c r="T10" s="265" t="s">
        <v>792</v>
      </c>
      <c r="U10" s="189"/>
      <c r="V10" s="189"/>
      <c r="W10" s="189"/>
      <c r="X10" s="189"/>
    </row>
    <row r="11" spans="1:24" ht="11.85" customHeight="1">
      <c r="A11" s="338" t="s">
        <v>908</v>
      </c>
      <c r="B11" s="698">
        <v>113250.1</v>
      </c>
      <c r="C11" s="698">
        <v>-344.5</v>
      </c>
      <c r="D11" s="698">
        <v>-6493.8</v>
      </c>
      <c r="E11" s="698">
        <v>106411.8</v>
      </c>
      <c r="F11" s="1190">
        <v>110094.5</v>
      </c>
      <c r="G11" s="698">
        <v>249.7</v>
      </c>
      <c r="H11" s="698">
        <v>64634.2</v>
      </c>
      <c r="I11" s="698">
        <v>174978.4</v>
      </c>
      <c r="J11" s="1190">
        <v>9376.7999999999993</v>
      </c>
      <c r="K11" s="698">
        <v>43.7</v>
      </c>
      <c r="L11" s="698">
        <v>9420.5</v>
      </c>
      <c r="M11" s="698">
        <v>440915.1</v>
      </c>
      <c r="N11" s="698">
        <v>36526.800000000003</v>
      </c>
      <c r="O11" s="698">
        <v>477441.89999999997</v>
      </c>
      <c r="P11" s="698">
        <v>661840.79999999993</v>
      </c>
      <c r="Q11" s="697">
        <v>-88069.7</v>
      </c>
      <c r="R11" s="698">
        <v>573771.1</v>
      </c>
      <c r="S11" s="698">
        <v>680182.9</v>
      </c>
      <c r="T11" s="339" t="s">
        <v>908</v>
      </c>
      <c r="U11" s="189"/>
      <c r="V11" s="189"/>
      <c r="W11" s="189"/>
      <c r="X11" s="189"/>
    </row>
    <row r="12" spans="1:24" s="175" customFormat="1" ht="11.85" customHeight="1">
      <c r="A12" s="439" t="s">
        <v>1108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8">
        <v>-105128.7</v>
      </c>
      <c r="R12" s="58">
        <v>639402.60000000009</v>
      </c>
      <c r="S12" s="58">
        <v>792445.3</v>
      </c>
      <c r="T12" s="887" t="s">
        <v>1108</v>
      </c>
    </row>
    <row r="13" spans="1:24" s="280" customFormat="1" ht="11.85" customHeight="1">
      <c r="A13" s="633" t="s">
        <v>1167</v>
      </c>
      <c r="B13" s="1190">
        <v>189228.79999999999</v>
      </c>
      <c r="C13" s="1190">
        <v>-274.10000000000002</v>
      </c>
      <c r="D13" s="1190">
        <v>-7257.5</v>
      </c>
      <c r="E13" s="1190">
        <v>181697.19999999998</v>
      </c>
      <c r="F13" s="1190">
        <v>110224.8</v>
      </c>
      <c r="G13" s="1190">
        <v>183.4</v>
      </c>
      <c r="H13" s="1190">
        <v>105074</v>
      </c>
      <c r="I13" s="1190">
        <v>215482.2</v>
      </c>
      <c r="J13" s="1190">
        <v>16448.8</v>
      </c>
      <c r="K13" s="1190">
        <v>80.3</v>
      </c>
      <c r="L13" s="1190">
        <v>16529.099999999999</v>
      </c>
      <c r="M13" s="1190">
        <v>557021.80000000005</v>
      </c>
      <c r="N13" s="1190">
        <v>50121.5</v>
      </c>
      <c r="O13" s="1190">
        <v>607143.30000000005</v>
      </c>
      <c r="P13" s="1190">
        <v>839154.60000000009</v>
      </c>
      <c r="Q13" s="1190">
        <v>-110802.8</v>
      </c>
      <c r="R13" s="1190">
        <v>728351.8</v>
      </c>
      <c r="S13" s="1190">
        <v>910049</v>
      </c>
      <c r="T13" s="605" t="s">
        <v>1167</v>
      </c>
      <c r="U13" s="252"/>
    </row>
    <row r="14" spans="1:24" s="280" customFormat="1" ht="11.85" customHeight="1">
      <c r="A14" s="591" t="s">
        <v>1299</v>
      </c>
      <c r="B14" s="1191">
        <v>233135.6</v>
      </c>
      <c r="C14" s="1191">
        <v>-83</v>
      </c>
      <c r="D14" s="1191">
        <v>-8475.2000000000007</v>
      </c>
      <c r="E14" s="1191">
        <v>224577.4</v>
      </c>
      <c r="F14" s="1191">
        <v>114189.1</v>
      </c>
      <c r="G14" s="1191">
        <v>-89.1</v>
      </c>
      <c r="H14" s="1191">
        <v>138762.6</v>
      </c>
      <c r="I14" s="1191">
        <v>252862.6</v>
      </c>
      <c r="J14" s="1191">
        <v>15573</v>
      </c>
      <c r="K14" s="1191">
        <v>108.3</v>
      </c>
      <c r="L14" s="1191">
        <v>15681.3</v>
      </c>
      <c r="M14" s="1191">
        <v>650644</v>
      </c>
      <c r="N14" s="1191">
        <v>60778.8</v>
      </c>
      <c r="O14" s="1191">
        <v>711422.8</v>
      </c>
      <c r="P14" s="1191">
        <v>979966.70000000007</v>
      </c>
      <c r="Q14" s="1191">
        <v>-127800.9</v>
      </c>
      <c r="R14" s="1191">
        <v>852165.8</v>
      </c>
      <c r="S14" s="1191">
        <v>1076743.2</v>
      </c>
      <c r="T14" s="592" t="s">
        <v>1299</v>
      </c>
      <c r="U14" s="252"/>
    </row>
    <row r="15" spans="1:24" s="280" customFormat="1" ht="11.85" customHeight="1">
      <c r="A15" s="633" t="s">
        <v>1332</v>
      </c>
      <c r="B15" s="1190">
        <v>266697</v>
      </c>
      <c r="C15" s="1190">
        <v>-46.6</v>
      </c>
      <c r="D15" s="1190">
        <v>-9534.1</v>
      </c>
      <c r="E15" s="1190">
        <v>257116.3</v>
      </c>
      <c r="F15" s="1190">
        <v>97307.599999999991</v>
      </c>
      <c r="G15" s="1190">
        <v>-108.6</v>
      </c>
      <c r="H15" s="1190">
        <v>191178.6</v>
      </c>
      <c r="I15" s="1190">
        <v>288377.59999999998</v>
      </c>
      <c r="J15" s="1190">
        <v>16744.2</v>
      </c>
      <c r="K15" s="1190">
        <v>142.6</v>
      </c>
      <c r="L15" s="1190">
        <v>16886.8</v>
      </c>
      <c r="M15" s="1190">
        <v>752988.79999999993</v>
      </c>
      <c r="N15" s="1190">
        <v>71394.7</v>
      </c>
      <c r="O15" s="1190">
        <v>824383.49999999988</v>
      </c>
      <c r="P15" s="1190">
        <v>1129647.8999999999</v>
      </c>
      <c r="Q15" s="1190">
        <v>-153298.70000000001</v>
      </c>
      <c r="R15" s="1190">
        <v>976349.2</v>
      </c>
      <c r="S15" s="1190">
        <v>1233465.5</v>
      </c>
      <c r="T15" s="605" t="s">
        <v>1332</v>
      </c>
      <c r="U15" s="252"/>
    </row>
    <row r="16" spans="1:24" s="280" customFormat="1" ht="11.85" customHeight="1">
      <c r="A16" s="591" t="s">
        <v>1471</v>
      </c>
      <c r="B16" s="1191">
        <v>264674.5</v>
      </c>
      <c r="C16" s="1191">
        <v>-20.5</v>
      </c>
      <c r="D16" s="1191">
        <v>-11436.5</v>
      </c>
      <c r="E16" s="1191">
        <v>253217.5</v>
      </c>
      <c r="F16" s="1191">
        <v>94869.599999999991</v>
      </c>
      <c r="G16" s="1191">
        <v>-3111.6</v>
      </c>
      <c r="H16" s="1191">
        <v>237765</v>
      </c>
      <c r="I16" s="1191">
        <v>329523</v>
      </c>
      <c r="J16" s="1191">
        <v>11337.8</v>
      </c>
      <c r="K16" s="1191">
        <v>787.8</v>
      </c>
      <c r="L16" s="1191">
        <v>12125.599999999999</v>
      </c>
      <c r="M16" s="1191">
        <v>880749.5</v>
      </c>
      <c r="N16" s="1191">
        <v>89467</v>
      </c>
      <c r="O16" s="1191">
        <v>970216.5</v>
      </c>
      <c r="P16" s="1191">
        <v>1311865.1000000001</v>
      </c>
      <c r="Q16" s="1191">
        <v>-191334.1</v>
      </c>
      <c r="R16" s="1191">
        <v>1120531</v>
      </c>
      <c r="S16" s="1191">
        <v>1373748.5</v>
      </c>
      <c r="T16" s="592" t="s">
        <v>1471</v>
      </c>
      <c r="U16" s="252"/>
    </row>
    <row r="17" spans="1:22" s="280" customFormat="1" ht="11.85" customHeight="1">
      <c r="A17" s="354" t="s">
        <v>1600</v>
      </c>
      <c r="B17" s="1190">
        <v>272399.5</v>
      </c>
      <c r="C17" s="1190">
        <v>-155.1</v>
      </c>
      <c r="D17" s="1190">
        <v>-12662.8</v>
      </c>
      <c r="E17" s="1190">
        <v>259581.6</v>
      </c>
      <c r="F17" s="1190">
        <v>113248.3</v>
      </c>
      <c r="G17" s="1190">
        <v>-2534.3000000000002</v>
      </c>
      <c r="H17" s="1190">
        <v>287704.5</v>
      </c>
      <c r="I17" s="1190">
        <v>398418.5</v>
      </c>
      <c r="J17" s="1190">
        <v>13590.7</v>
      </c>
      <c r="K17" s="1190">
        <v>1239.4000000000001</v>
      </c>
      <c r="L17" s="1190">
        <v>14830.1</v>
      </c>
      <c r="M17" s="1190">
        <v>985443.3</v>
      </c>
      <c r="N17" s="1190">
        <v>93123</v>
      </c>
      <c r="O17" s="1190">
        <v>1078566.3</v>
      </c>
      <c r="P17" s="1190">
        <v>1491814.9</v>
      </c>
      <c r="Q17" s="1190">
        <v>-217369.60000000001</v>
      </c>
      <c r="R17" s="1190">
        <v>1274445.2999999998</v>
      </c>
      <c r="S17" s="1190">
        <v>1534026.9</v>
      </c>
      <c r="T17" s="385" t="s">
        <v>1600</v>
      </c>
      <c r="U17" s="252"/>
    </row>
    <row r="18" spans="1:22" ht="11.85" customHeight="1">
      <c r="A18" s="204" t="s">
        <v>1695</v>
      </c>
      <c r="B18" s="1193">
        <v>297336.2</v>
      </c>
      <c r="C18" s="1193">
        <v>-113.1</v>
      </c>
      <c r="D18" s="1193">
        <v>-13909.2</v>
      </c>
      <c r="E18" s="1193">
        <v>283313.90000000002</v>
      </c>
      <c r="F18" s="1193">
        <v>181119.4</v>
      </c>
      <c r="G18" s="1193">
        <v>71.3</v>
      </c>
      <c r="H18" s="1193">
        <v>302132.8</v>
      </c>
      <c r="I18" s="1193">
        <v>483323.5</v>
      </c>
      <c r="J18" s="1193">
        <v>19200.800000000003</v>
      </c>
      <c r="K18" s="1193">
        <v>1285.2</v>
      </c>
      <c r="L18" s="1193">
        <v>20486.000000000004</v>
      </c>
      <c r="M18" s="1193">
        <v>1075226.5</v>
      </c>
      <c r="N18" s="1193">
        <v>91712.4</v>
      </c>
      <c r="O18" s="1193">
        <v>1166938.8999999999</v>
      </c>
      <c r="P18" s="1193">
        <v>1670748.4</v>
      </c>
      <c r="Q18" s="1193">
        <v>-250124.9</v>
      </c>
      <c r="R18" s="1193">
        <v>1420623.5</v>
      </c>
      <c r="S18" s="1193">
        <v>1703937.4</v>
      </c>
      <c r="T18" s="516" t="s">
        <v>1695</v>
      </c>
      <c r="U18" s="189"/>
    </row>
    <row r="19" spans="1:22" s="175" customFormat="1" ht="11.85" customHeight="1">
      <c r="A19" s="394" t="s">
        <v>1764</v>
      </c>
      <c r="B19" s="1193">
        <f>B31</f>
        <v>382179.2</v>
      </c>
      <c r="C19" s="1193">
        <f t="shared" ref="C19:I19" si="5">C31</f>
        <v>-191.5</v>
      </c>
      <c r="D19" s="1193">
        <f t="shared" si="5"/>
        <v>-14841.5</v>
      </c>
      <c r="E19" s="1193">
        <f t="shared" si="5"/>
        <v>367146.2</v>
      </c>
      <c r="F19" s="1193">
        <f t="shared" si="5"/>
        <v>220997.5</v>
      </c>
      <c r="G19" s="1193">
        <f t="shared" si="5"/>
        <v>-621.4</v>
      </c>
      <c r="H19" s="1193">
        <f t="shared" si="5"/>
        <v>344143.9</v>
      </c>
      <c r="I19" s="1193">
        <f t="shared" si="5"/>
        <v>564520</v>
      </c>
      <c r="J19" s="1193">
        <f>J31</f>
        <v>19666.599999999999</v>
      </c>
      <c r="K19" s="1193">
        <f>K31</f>
        <v>1305.4000000000001</v>
      </c>
      <c r="L19" s="1193">
        <f t="shared" ref="L19:R19" si="6">L31</f>
        <v>20972</v>
      </c>
      <c r="M19" s="1193">
        <f t="shared" si="6"/>
        <v>1164390.5</v>
      </c>
      <c r="N19" s="1193">
        <f t="shared" si="6"/>
        <v>94826.3</v>
      </c>
      <c r="O19" s="1193">
        <f t="shared" si="6"/>
        <v>1259216.8</v>
      </c>
      <c r="P19" s="1193">
        <f t="shared" si="6"/>
        <v>1844708.8</v>
      </c>
      <c r="Q19" s="1193">
        <f t="shared" si="6"/>
        <v>-282809.7</v>
      </c>
      <c r="R19" s="1193">
        <f t="shared" si="6"/>
        <v>1561899.1</v>
      </c>
      <c r="S19" s="1193">
        <f>S31</f>
        <v>1929045.3</v>
      </c>
      <c r="T19" s="335" t="s">
        <v>1764</v>
      </c>
      <c r="U19" s="953"/>
    </row>
    <row r="20" spans="1:22" s="175" customFormat="1" ht="11.85" customHeight="1">
      <c r="A20" s="278" t="s">
        <v>606</v>
      </c>
      <c r="B20" s="1191">
        <f>297266.4+13630.7</f>
        <v>310897.10000000003</v>
      </c>
      <c r="C20" s="1191">
        <v>-100.2</v>
      </c>
      <c r="D20" s="1194">
        <v>-14064.6</v>
      </c>
      <c r="E20" s="1194">
        <f t="shared" ref="E20:E49" si="7">D20+C20+B20</f>
        <v>296732.30000000005</v>
      </c>
      <c r="F20" s="1191">
        <f>38923.9+157754</f>
        <v>196677.9</v>
      </c>
      <c r="G20" s="1191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91">
        <v>1285.2</v>
      </c>
      <c r="L20" s="1191">
        <f t="shared" ref="L20:L49" si="9">J20+K20</f>
        <v>20398.099999999999</v>
      </c>
      <c r="M20" s="1191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8" t="s">
        <v>606</v>
      </c>
      <c r="U20" s="953"/>
    </row>
    <row r="21" spans="1:22" s="175" customFormat="1" ht="11.85" customHeight="1">
      <c r="A21" s="354" t="s">
        <v>607</v>
      </c>
      <c r="B21" s="1190">
        <f>307680.5+14569.5</f>
        <v>322250</v>
      </c>
      <c r="C21" s="1190">
        <v>-100.8</v>
      </c>
      <c r="D21" s="1194">
        <v>-14203.1</v>
      </c>
      <c r="E21" s="1194">
        <f t="shared" si="7"/>
        <v>307946.09999999998</v>
      </c>
      <c r="F21" s="1190">
        <f>22094.6+173066.1</f>
        <v>195160.7</v>
      </c>
      <c r="G21" s="1190">
        <v>-1.2</v>
      </c>
      <c r="H21" s="1197">
        <v>309584.90000000002</v>
      </c>
      <c r="I21" s="58">
        <f t="shared" si="8"/>
        <v>504744.4</v>
      </c>
      <c r="J21" s="321">
        <f>1597.8+17926.2</f>
        <v>19524</v>
      </c>
      <c r="K21" s="1190">
        <v>1285.2</v>
      </c>
      <c r="L21" s="1190">
        <f t="shared" si="9"/>
        <v>20809.2</v>
      </c>
      <c r="M21" s="1190">
        <f>4156.2+1075365.1</f>
        <v>1079521.3</v>
      </c>
      <c r="N21" s="321">
        <v>89972.7</v>
      </c>
      <c r="O21" s="321">
        <f t="shared" si="10"/>
        <v>1169494</v>
      </c>
      <c r="P21" s="58">
        <f t="shared" si="11"/>
        <v>1695047.6</v>
      </c>
      <c r="Q21" s="321">
        <v>-251467.2</v>
      </c>
      <c r="R21" s="58">
        <f t="shared" si="12"/>
        <v>1443580.4000000001</v>
      </c>
      <c r="S21" s="58">
        <f t="shared" si="13"/>
        <v>1751526.5</v>
      </c>
      <c r="T21" s="333" t="s">
        <v>607</v>
      </c>
      <c r="U21" s="953"/>
    </row>
    <row r="22" spans="1:22" s="175" customFormat="1" ht="11.85" customHeight="1">
      <c r="A22" s="278" t="s">
        <v>601</v>
      </c>
      <c r="B22" s="1191">
        <f>313613.3+17544.3</f>
        <v>331157.59999999998</v>
      </c>
      <c r="C22" s="1191">
        <v>-101.3</v>
      </c>
      <c r="D22" s="1194">
        <v>-14346.6</v>
      </c>
      <c r="E22" s="1194">
        <f t="shared" si="7"/>
        <v>316709.69999999995</v>
      </c>
      <c r="F22" s="1191">
        <f>12186.7+178287</f>
        <v>190473.7</v>
      </c>
      <c r="G22" s="1191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91">
        <v>1289.7</v>
      </c>
      <c r="L22" s="1191">
        <f t="shared" si="9"/>
        <v>20752.5</v>
      </c>
      <c r="M22" s="1191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8" t="s">
        <v>601</v>
      </c>
      <c r="U22" s="953"/>
      <c r="V22" s="953"/>
    </row>
    <row r="23" spans="1:22" s="175" customFormat="1" ht="11.85" customHeight="1">
      <c r="A23" s="354" t="s">
        <v>608</v>
      </c>
      <c r="B23" s="1190">
        <f>322383.4+14543.2</f>
        <v>336926.60000000003</v>
      </c>
      <c r="C23" s="1190">
        <v>-88.4</v>
      </c>
      <c r="D23" s="1195">
        <v>-14474.3</v>
      </c>
      <c r="E23" s="1195">
        <f t="shared" si="7"/>
        <v>322363.90000000002</v>
      </c>
      <c r="F23" s="1198">
        <f>11533.9+180055.7</f>
        <v>191589.6</v>
      </c>
      <c r="G23" s="1190">
        <v>378.7</v>
      </c>
      <c r="H23" s="321">
        <v>317826.7</v>
      </c>
      <c r="I23" s="321">
        <f t="shared" si="8"/>
        <v>509795</v>
      </c>
      <c r="J23" s="321">
        <f>1600.6+18227.3</f>
        <v>19827.899999999998</v>
      </c>
      <c r="K23" s="1190">
        <v>1338.8</v>
      </c>
      <c r="L23" s="1190">
        <f t="shared" si="9"/>
        <v>21166.699999999997</v>
      </c>
      <c r="M23" s="1190">
        <f>4197.8+1087741.9</f>
        <v>1091939.7</v>
      </c>
      <c r="N23" s="321">
        <v>92427.4</v>
      </c>
      <c r="O23" s="321">
        <f t="shared" si="10"/>
        <v>1184367.0999999999</v>
      </c>
      <c r="P23" s="321">
        <f t="shared" si="11"/>
        <v>1715328.7999999998</v>
      </c>
      <c r="Q23" s="321">
        <v>-253594.2</v>
      </c>
      <c r="R23" s="1197">
        <f t="shared" si="12"/>
        <v>1461734.5999999999</v>
      </c>
      <c r="S23" s="321">
        <f t="shared" si="13"/>
        <v>1784098.5</v>
      </c>
      <c r="T23" s="333" t="s">
        <v>608</v>
      </c>
      <c r="U23" s="953"/>
      <c r="V23" s="953"/>
    </row>
    <row r="24" spans="1:22" s="175" customFormat="1" ht="11.85" customHeight="1">
      <c r="A24" s="278" t="s">
        <v>609</v>
      </c>
      <c r="B24" s="1191">
        <f>330892.7+14510.5</f>
        <v>345403.2</v>
      </c>
      <c r="C24" s="1191">
        <v>-88.8</v>
      </c>
      <c r="D24" s="1194">
        <v>-14640.3</v>
      </c>
      <c r="E24" s="1194">
        <f t="shared" si="7"/>
        <v>330674.10000000003</v>
      </c>
      <c r="F24" s="1191">
        <f>9855.8+183243.1</f>
        <v>193098.9</v>
      </c>
      <c r="G24" s="1191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91">
        <v>1338.8</v>
      </c>
      <c r="L24" s="1191">
        <f t="shared" si="9"/>
        <v>21911.3</v>
      </c>
      <c r="M24" s="1191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8" t="s">
        <v>609</v>
      </c>
      <c r="U24" s="953"/>
      <c r="V24" s="953"/>
    </row>
    <row r="25" spans="1:22" s="175" customFormat="1" ht="11.85" customHeight="1">
      <c r="A25" s="354" t="s">
        <v>602</v>
      </c>
      <c r="B25" s="1190">
        <f>341180.7+15796.1</f>
        <v>356976.8</v>
      </c>
      <c r="C25" s="1190">
        <v>-89.3</v>
      </c>
      <c r="D25" s="1196">
        <v>-14722.3</v>
      </c>
      <c r="E25" s="1195">
        <f t="shared" si="7"/>
        <v>342165.2</v>
      </c>
      <c r="F25" s="1190">
        <f>1313.5+189941.4</f>
        <v>191254.9</v>
      </c>
      <c r="G25" s="1190">
        <v>160.1</v>
      </c>
      <c r="H25" s="321">
        <v>322671.5</v>
      </c>
      <c r="I25" s="321">
        <f t="shared" si="8"/>
        <v>514086.5</v>
      </c>
      <c r="J25" s="321">
        <f>1604+19376.7</f>
        <v>20980.7</v>
      </c>
      <c r="K25" s="1190">
        <v>1337.5</v>
      </c>
      <c r="L25" s="1190">
        <f t="shared" si="9"/>
        <v>22318.2</v>
      </c>
      <c r="M25" s="1190">
        <f>4273.2+1113581.9</f>
        <v>1117855.0999999999</v>
      </c>
      <c r="N25" s="321">
        <v>94285.5</v>
      </c>
      <c r="O25" s="321">
        <f t="shared" si="10"/>
        <v>1212140.5999999999</v>
      </c>
      <c r="P25" s="321">
        <f t="shared" si="11"/>
        <v>1748545.2999999998</v>
      </c>
      <c r="Q25" s="321">
        <v>-261316.5</v>
      </c>
      <c r="R25" s="321">
        <f t="shared" si="12"/>
        <v>1487228.7999999998</v>
      </c>
      <c r="S25" s="321">
        <f t="shared" si="13"/>
        <v>1829393.9999999998</v>
      </c>
      <c r="T25" s="333" t="s">
        <v>602</v>
      </c>
      <c r="V25" s="953"/>
    </row>
    <row r="26" spans="1:22" s="175" customFormat="1" ht="11.85" customHeight="1">
      <c r="A26" s="278" t="s">
        <v>610</v>
      </c>
      <c r="B26" s="1191">
        <f>343476.8+15680.7</f>
        <v>359157.5</v>
      </c>
      <c r="C26" s="1191">
        <v>-76.3</v>
      </c>
      <c r="D26" s="1194">
        <v>-14809.8</v>
      </c>
      <c r="E26" s="1194">
        <f t="shared" si="7"/>
        <v>344271.4</v>
      </c>
      <c r="F26" s="1191">
        <f>-206.2+191553.9</f>
        <v>191347.69999999998</v>
      </c>
      <c r="G26" s="1191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91">
        <v>1305.2</v>
      </c>
      <c r="L26" s="1191">
        <f t="shared" si="9"/>
        <v>22024.5</v>
      </c>
      <c r="M26" s="1191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8" t="s">
        <v>610</v>
      </c>
      <c r="V26" s="953"/>
    </row>
    <row r="27" spans="1:22" s="175" customFormat="1" ht="11.85" customHeight="1">
      <c r="A27" s="354" t="s">
        <v>611</v>
      </c>
      <c r="B27" s="1190">
        <f>347148.6+14582.4</f>
        <v>361731</v>
      </c>
      <c r="C27" s="1190">
        <v>-76.7</v>
      </c>
      <c r="D27" s="1196">
        <v>-14879</v>
      </c>
      <c r="E27" s="1195">
        <f t="shared" si="7"/>
        <v>346775.3</v>
      </c>
      <c r="F27" s="1190">
        <f>-11316.8+190796.2</f>
        <v>179479.40000000002</v>
      </c>
      <c r="G27" s="1190">
        <v>-53.9</v>
      </c>
      <c r="H27" s="321">
        <v>331495.7</v>
      </c>
      <c r="I27" s="321">
        <f t="shared" si="8"/>
        <v>510921.2</v>
      </c>
      <c r="J27" s="321">
        <f>1597.7+19564.5</f>
        <v>21162.2</v>
      </c>
      <c r="K27" s="1190">
        <v>1306.4000000000001</v>
      </c>
      <c r="L27" s="1190">
        <f t="shared" si="9"/>
        <v>22468.600000000002</v>
      </c>
      <c r="M27" s="1190">
        <f>4265.7+1125888.4</f>
        <v>1130154.0999999999</v>
      </c>
      <c r="N27" s="321">
        <v>94451</v>
      </c>
      <c r="O27" s="321">
        <f t="shared" si="10"/>
        <v>1224605.0999999999</v>
      </c>
      <c r="P27" s="321">
        <f t="shared" si="11"/>
        <v>1757994.9</v>
      </c>
      <c r="Q27" s="321">
        <v>-265316.3</v>
      </c>
      <c r="R27" s="321">
        <f t="shared" si="12"/>
        <v>1492678.5999999999</v>
      </c>
      <c r="S27" s="321">
        <f t="shared" si="13"/>
        <v>1839453.9</v>
      </c>
      <c r="T27" s="333" t="s">
        <v>611</v>
      </c>
      <c r="U27" s="953"/>
      <c r="V27" s="953"/>
    </row>
    <row r="28" spans="1:22" s="175" customFormat="1" ht="11.85" customHeight="1">
      <c r="A28" s="278" t="s">
        <v>603</v>
      </c>
      <c r="B28" s="1191">
        <f>346841.2+15356.7</f>
        <v>362197.9</v>
      </c>
      <c r="C28" s="1191">
        <v>-77.099999999999994</v>
      </c>
      <c r="D28" s="1194">
        <v>-14918.6</v>
      </c>
      <c r="E28" s="1194">
        <f t="shared" si="7"/>
        <v>347202.2</v>
      </c>
      <c r="F28" s="1191">
        <f>-9799.1+188683.3</f>
        <v>178884.19999999998</v>
      </c>
      <c r="G28" s="1191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91">
        <v>1305.5</v>
      </c>
      <c r="L28" s="1191">
        <f t="shared" si="9"/>
        <v>22362.2</v>
      </c>
      <c r="M28" s="1191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8" t="s">
        <v>603</v>
      </c>
      <c r="U28" s="953"/>
      <c r="V28" s="953"/>
    </row>
    <row r="29" spans="1:22" s="175" customFormat="1" ht="11.85" customHeight="1">
      <c r="A29" s="354" t="s">
        <v>612</v>
      </c>
      <c r="B29" s="1190">
        <f>352524.2+17183</f>
        <v>369707.2</v>
      </c>
      <c r="C29" s="1190">
        <v>-64.099999999999994</v>
      </c>
      <c r="D29" s="1195">
        <v>-14921.1</v>
      </c>
      <c r="E29" s="1195">
        <f t="shared" si="7"/>
        <v>354722</v>
      </c>
      <c r="F29" s="1190">
        <f>-1952.8+189105.6</f>
        <v>187152.80000000002</v>
      </c>
      <c r="G29" s="1190">
        <v>-358.5</v>
      </c>
      <c r="H29" s="321">
        <v>336913</v>
      </c>
      <c r="I29" s="321">
        <f t="shared" si="8"/>
        <v>523707.30000000005</v>
      </c>
      <c r="J29" s="321">
        <f>1600.9+18791.9</f>
        <v>20392.800000000003</v>
      </c>
      <c r="K29" s="1190">
        <v>1305.4000000000001</v>
      </c>
      <c r="L29" s="1190">
        <f t="shared" si="9"/>
        <v>21698.200000000004</v>
      </c>
      <c r="M29" s="1190">
        <f>4279+1136600</f>
        <v>1140879</v>
      </c>
      <c r="N29" s="321">
        <v>94580.3</v>
      </c>
      <c r="O29" s="321">
        <f t="shared" si="10"/>
        <v>1235459.3</v>
      </c>
      <c r="P29" s="321">
        <f t="shared" si="11"/>
        <v>1780864.8</v>
      </c>
      <c r="Q29" s="321">
        <v>-272847.8</v>
      </c>
      <c r="R29" s="321">
        <f t="shared" si="12"/>
        <v>1508017</v>
      </c>
      <c r="S29" s="321">
        <f t="shared" si="13"/>
        <v>1862739</v>
      </c>
      <c r="T29" s="333" t="s">
        <v>612</v>
      </c>
      <c r="U29" s="953"/>
      <c r="V29" s="953"/>
    </row>
    <row r="30" spans="1:22" s="175" customFormat="1" ht="11.85" customHeight="1">
      <c r="A30" s="278" t="s">
        <v>613</v>
      </c>
      <c r="B30" s="1191">
        <f>361530.9+16389.4</f>
        <v>377920.30000000005</v>
      </c>
      <c r="C30" s="1191">
        <v>-190.6</v>
      </c>
      <c r="D30" s="1194">
        <v>-14937.2</v>
      </c>
      <c r="E30" s="1194">
        <f t="shared" si="7"/>
        <v>362792.50000000006</v>
      </c>
      <c r="F30" s="1191">
        <f>-482.4+197929.6</f>
        <v>197447.2</v>
      </c>
      <c r="G30" s="1191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91">
        <v>1305.4000000000001</v>
      </c>
      <c r="L30" s="1191">
        <f t="shared" si="9"/>
        <v>21730.050000000003</v>
      </c>
      <c r="M30" s="1191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8" t="s">
        <v>613</v>
      </c>
      <c r="U30" s="953"/>
      <c r="V30" s="953"/>
    </row>
    <row r="31" spans="1:22" s="175" customFormat="1" ht="11.85" customHeight="1">
      <c r="A31" s="438" t="s">
        <v>604</v>
      </c>
      <c r="B31" s="1190">
        <f>366917.3+15261.9</f>
        <v>382179.2</v>
      </c>
      <c r="C31" s="1190">
        <v>-191.5</v>
      </c>
      <c r="D31" s="1195">
        <v>-14841.5</v>
      </c>
      <c r="E31" s="1195">
        <f t="shared" si="7"/>
        <v>367146.2</v>
      </c>
      <c r="F31" s="1190">
        <f>17285.5+203712</f>
        <v>220997.5</v>
      </c>
      <c r="G31" s="1190">
        <v>-621.4</v>
      </c>
      <c r="H31" s="321">
        <v>344143.9</v>
      </c>
      <c r="I31" s="321">
        <f t="shared" si="8"/>
        <v>564520</v>
      </c>
      <c r="J31" s="321">
        <f>1604.1+18062.5</f>
        <v>19666.599999999999</v>
      </c>
      <c r="K31" s="1190">
        <v>1305.4000000000001</v>
      </c>
      <c r="L31" s="1190">
        <f t="shared" si="9"/>
        <v>20972</v>
      </c>
      <c r="M31" s="1190">
        <f>4331.5+1160059</f>
        <v>1164390.5</v>
      </c>
      <c r="N31" s="321">
        <v>94826.3</v>
      </c>
      <c r="O31" s="321">
        <f t="shared" si="10"/>
        <v>1259216.8</v>
      </c>
      <c r="P31" s="321">
        <f t="shared" si="11"/>
        <v>1844708.8</v>
      </c>
      <c r="Q31" s="321">
        <v>-282809.7</v>
      </c>
      <c r="R31" s="321">
        <f t="shared" si="12"/>
        <v>1561899.1</v>
      </c>
      <c r="S31" s="1197">
        <f t="shared" si="13"/>
        <v>1929045.3</v>
      </c>
      <c r="T31" s="385" t="s">
        <v>604</v>
      </c>
      <c r="U31" s="953"/>
      <c r="V31" s="953"/>
    </row>
    <row r="32" spans="1:22" s="175" customFormat="1" ht="11.85" customHeight="1">
      <c r="A32" s="984" t="s">
        <v>2166</v>
      </c>
      <c r="B32" s="1193">
        <f>B44</f>
        <v>364298.8</v>
      </c>
      <c r="C32" s="1193">
        <f t="shared" ref="C32:S32" si="14">C44</f>
        <v>-309.5</v>
      </c>
      <c r="D32" s="1193">
        <f t="shared" si="14"/>
        <v>-13446.1</v>
      </c>
      <c r="E32" s="1193">
        <f t="shared" si="14"/>
        <v>350543.2</v>
      </c>
      <c r="F32" s="1193">
        <f t="shared" si="14"/>
        <v>283289.09999999998</v>
      </c>
      <c r="G32" s="1193">
        <f t="shared" si="14"/>
        <v>-328</v>
      </c>
      <c r="H32" s="1193">
        <f t="shared" si="14"/>
        <v>364051</v>
      </c>
      <c r="I32" s="1193">
        <f t="shared" si="14"/>
        <v>647012.1</v>
      </c>
      <c r="J32" s="1193">
        <f t="shared" si="14"/>
        <v>27775.1</v>
      </c>
      <c r="K32" s="1193">
        <f t="shared" si="14"/>
        <v>1284.8</v>
      </c>
      <c r="L32" s="1193">
        <f t="shared" si="14"/>
        <v>29059.899999999998</v>
      </c>
      <c r="M32" s="1193">
        <f t="shared" si="14"/>
        <v>1328344.5999999999</v>
      </c>
      <c r="N32" s="1193">
        <f t="shared" si="14"/>
        <v>97727.3</v>
      </c>
      <c r="O32" s="1193">
        <f t="shared" si="14"/>
        <v>1426071.9</v>
      </c>
      <c r="P32" s="1193">
        <f t="shared" si="14"/>
        <v>2102143.9</v>
      </c>
      <c r="Q32" s="1193">
        <f t="shared" si="14"/>
        <v>-354713.8</v>
      </c>
      <c r="R32" s="1193">
        <f t="shared" si="14"/>
        <v>1747430.0999999999</v>
      </c>
      <c r="S32" s="1193">
        <f t="shared" si="14"/>
        <v>2097973.2999999998</v>
      </c>
      <c r="T32" s="398" t="s">
        <v>2166</v>
      </c>
      <c r="U32" s="953"/>
      <c r="V32" s="953"/>
    </row>
    <row r="33" spans="1:24" s="175" customFormat="1" ht="11.85" customHeight="1">
      <c r="A33" s="438" t="s">
        <v>606</v>
      </c>
      <c r="B33" s="1190">
        <f>369407.2+14441.4</f>
        <v>383848.60000000003</v>
      </c>
      <c r="C33" s="1190">
        <v>-179.1</v>
      </c>
      <c r="D33" s="1195">
        <v>-14804.8</v>
      </c>
      <c r="E33" s="1195">
        <f t="shared" si="7"/>
        <v>368864.7</v>
      </c>
      <c r="F33" s="1190">
        <f>12440.4+216678.8</f>
        <v>229119.19999999998</v>
      </c>
      <c r="G33" s="1190">
        <v>-561.70000000000005</v>
      </c>
      <c r="H33" s="321">
        <v>346247.9</v>
      </c>
      <c r="I33" s="321">
        <f t="shared" si="8"/>
        <v>574805.4</v>
      </c>
      <c r="J33" s="321">
        <f>1596.1+18283.8</f>
        <v>19879.899999999998</v>
      </c>
      <c r="K33" s="1190">
        <v>1305.3</v>
      </c>
      <c r="L33" s="1190">
        <f t="shared" si="9"/>
        <v>21185.199999999997</v>
      </c>
      <c r="M33" s="1190">
        <f>4328.5+1159041.7</f>
        <v>1163370.2</v>
      </c>
      <c r="N33" s="321">
        <v>94498.7</v>
      </c>
      <c r="O33" s="321">
        <f t="shared" si="10"/>
        <v>1257868.8999999999</v>
      </c>
      <c r="P33" s="321">
        <f t="shared" si="11"/>
        <v>1853859.5</v>
      </c>
      <c r="Q33" s="321">
        <v>-273726.7</v>
      </c>
      <c r="R33" s="321">
        <f t="shared" si="12"/>
        <v>1580132.8</v>
      </c>
      <c r="S33" s="321">
        <f t="shared" si="13"/>
        <v>1948997.5</v>
      </c>
      <c r="T33" s="385" t="s">
        <v>606</v>
      </c>
      <c r="U33" s="815"/>
      <c r="V33" s="953"/>
    </row>
    <row r="34" spans="1:24" s="175" customFormat="1" ht="11.85" customHeight="1">
      <c r="A34" s="424" t="s">
        <v>607</v>
      </c>
      <c r="B34" s="1191">
        <f>370193.5+17245.1</f>
        <v>387438.6</v>
      </c>
      <c r="C34" s="1191">
        <v>-180.6</v>
      </c>
      <c r="D34" s="1194">
        <v>-14772.9</v>
      </c>
      <c r="E34" s="1194">
        <f t="shared" si="7"/>
        <v>372485.1</v>
      </c>
      <c r="F34" s="1191">
        <f>6278.9+218203</f>
        <v>224481.9</v>
      </c>
      <c r="G34" s="1191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91">
        <v>1303</v>
      </c>
      <c r="L34" s="1191">
        <f t="shared" si="9"/>
        <v>21568</v>
      </c>
      <c r="M34" s="1191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9" t="s">
        <v>607</v>
      </c>
      <c r="U34" s="815"/>
      <c r="V34" s="953"/>
      <c r="W34" s="953"/>
      <c r="X34" s="953"/>
    </row>
    <row r="35" spans="1:24" s="175" customFormat="1" ht="11.85" customHeight="1">
      <c r="A35" s="438" t="s">
        <v>601</v>
      </c>
      <c r="B35" s="1190">
        <f>361730.3+15858.6</f>
        <v>377588.89999999997</v>
      </c>
      <c r="C35" s="1190">
        <v>-225</v>
      </c>
      <c r="D35" s="1195">
        <v>-14667.6</v>
      </c>
      <c r="E35" s="1195">
        <f t="shared" si="7"/>
        <v>362696.3</v>
      </c>
      <c r="F35" s="1190">
        <f>7273.4+220245.3</f>
        <v>227518.69999999998</v>
      </c>
      <c r="G35" s="1190">
        <v>-390.3</v>
      </c>
      <c r="H35" s="321">
        <v>352702.1</v>
      </c>
      <c r="I35" s="321">
        <f t="shared" si="8"/>
        <v>579830.5</v>
      </c>
      <c r="J35" s="321">
        <f>1599.3+19443.7</f>
        <v>21043</v>
      </c>
      <c r="K35" s="1190">
        <v>1306.2</v>
      </c>
      <c r="L35" s="1190">
        <f t="shared" si="9"/>
        <v>22349.200000000001</v>
      </c>
      <c r="M35" s="1190">
        <f>4278+1182744.8</f>
        <v>1187022.8</v>
      </c>
      <c r="N35" s="321">
        <v>94238.3</v>
      </c>
      <c r="O35" s="321">
        <f t="shared" si="10"/>
        <v>1281261.1000000001</v>
      </c>
      <c r="P35" s="321">
        <f t="shared" si="11"/>
        <v>1883440.8</v>
      </c>
      <c r="Q35" s="321">
        <v>-285774.40000000002</v>
      </c>
      <c r="R35" s="321">
        <f t="shared" si="12"/>
        <v>1597666.4</v>
      </c>
      <c r="S35" s="321">
        <f t="shared" si="13"/>
        <v>1960362.7</v>
      </c>
      <c r="T35" s="385" t="s">
        <v>601</v>
      </c>
      <c r="U35" s="815"/>
      <c r="V35" s="953"/>
      <c r="W35" s="953"/>
      <c r="X35" s="953"/>
    </row>
    <row r="36" spans="1:24" s="175" customFormat="1" ht="11.85" customHeight="1">
      <c r="A36" s="424" t="s">
        <v>608</v>
      </c>
      <c r="B36" s="1191">
        <f>358585.9+18278.8</f>
        <v>376864.7</v>
      </c>
      <c r="C36" s="1191">
        <v>-212.8</v>
      </c>
      <c r="D36" s="1194">
        <v>-14559.4</v>
      </c>
      <c r="E36" s="1194">
        <f t="shared" si="7"/>
        <v>362092.5</v>
      </c>
      <c r="F36" s="1191">
        <f>8393.7+222573.4</f>
        <v>230967.1</v>
      </c>
      <c r="G36" s="1191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91">
        <v>1340.7</v>
      </c>
      <c r="L36" s="1191">
        <f t="shared" si="9"/>
        <v>23530.100000000002</v>
      </c>
      <c r="M36" s="1191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9" t="s">
        <v>608</v>
      </c>
      <c r="U36" s="815"/>
      <c r="V36" s="953"/>
      <c r="W36" s="953"/>
      <c r="X36" s="953"/>
    </row>
    <row r="37" spans="1:24" s="175" customFormat="1" ht="11.85" customHeight="1">
      <c r="A37" s="438" t="s">
        <v>609</v>
      </c>
      <c r="B37" s="1190">
        <f>352218.6+13243.3</f>
        <v>365461.89999999997</v>
      </c>
      <c r="C37" s="1190">
        <v>-347.9</v>
      </c>
      <c r="D37" s="1195">
        <v>-14486.4</v>
      </c>
      <c r="E37" s="1195">
        <f t="shared" si="7"/>
        <v>350627.6</v>
      </c>
      <c r="F37" s="1190">
        <f>17488.1+222563.1</f>
        <v>240051.20000000001</v>
      </c>
      <c r="G37" s="1190">
        <v>-532</v>
      </c>
      <c r="H37" s="321">
        <v>354169.7</v>
      </c>
      <c r="I37" s="321">
        <f t="shared" ref="I37:I49" si="15">H37+G37+F37</f>
        <v>593688.9</v>
      </c>
      <c r="J37" s="321">
        <f>1602.5+22128.2</f>
        <v>23730.7</v>
      </c>
      <c r="K37" s="1190">
        <v>1371.4</v>
      </c>
      <c r="L37" s="1190">
        <f t="shared" si="9"/>
        <v>25102.100000000002</v>
      </c>
      <c r="M37" s="1190">
        <f>4260+1207447.1</f>
        <v>1211707.1000000001</v>
      </c>
      <c r="N37" s="321">
        <v>93598.7</v>
      </c>
      <c r="O37" s="321">
        <f t="shared" ref="O37:O49" si="16">M37+N37</f>
        <v>1305305.8</v>
      </c>
      <c r="P37" s="321">
        <f t="shared" si="11"/>
        <v>1924096.8</v>
      </c>
      <c r="Q37" s="321">
        <v>-295849.5</v>
      </c>
      <c r="R37" s="321">
        <f t="shared" si="12"/>
        <v>1628247.3</v>
      </c>
      <c r="S37" s="321">
        <f t="shared" si="13"/>
        <v>1978874.9</v>
      </c>
      <c r="T37" s="385" t="s">
        <v>609</v>
      </c>
      <c r="U37" s="815"/>
      <c r="V37" s="953"/>
      <c r="W37" s="953"/>
      <c r="X37" s="953"/>
    </row>
    <row r="38" spans="1:24" s="175" customFormat="1" ht="11.85" customHeight="1">
      <c r="A38" s="424" t="s">
        <v>602</v>
      </c>
      <c r="B38" s="1191">
        <f>354607.3+14548</f>
        <v>369155.3</v>
      </c>
      <c r="C38" s="1191">
        <v>-348.7</v>
      </c>
      <c r="D38" s="1194">
        <v>-14374.6</v>
      </c>
      <c r="E38" s="1194">
        <f t="shared" si="7"/>
        <v>354432</v>
      </c>
      <c r="F38" s="1191">
        <f>5463.5+229052.7</f>
        <v>234516.2</v>
      </c>
      <c r="G38" s="1191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91">
        <v>1371</v>
      </c>
      <c r="L38" s="1191">
        <f t="shared" si="9"/>
        <v>26516.400000000001</v>
      </c>
      <c r="M38" s="1191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9" t="s">
        <v>602</v>
      </c>
      <c r="U38" s="815"/>
      <c r="V38" s="953"/>
      <c r="W38" s="953"/>
      <c r="X38" s="953"/>
    </row>
    <row r="39" spans="1:24" s="175" customFormat="1" ht="11.85" customHeight="1">
      <c r="A39" s="438" t="s">
        <v>610</v>
      </c>
      <c r="B39" s="1190">
        <f>351964.2+13279.8</f>
        <v>365244</v>
      </c>
      <c r="C39" s="1190">
        <v>-337.6</v>
      </c>
      <c r="D39" s="1195">
        <v>-14250.7</v>
      </c>
      <c r="E39" s="1195">
        <f t="shared" si="7"/>
        <v>350655.7</v>
      </c>
      <c r="F39" s="1190">
        <f>9036.5+223024.5</f>
        <v>232061</v>
      </c>
      <c r="G39" s="1190">
        <v>-520.20000000000005</v>
      </c>
      <c r="H39" s="321">
        <v>356310.4</v>
      </c>
      <c r="I39" s="321">
        <f t="shared" si="15"/>
        <v>587851.19999999995</v>
      </c>
      <c r="J39" s="321">
        <f>1596.1+25172.5</f>
        <v>26768.6</v>
      </c>
      <c r="K39" s="1190">
        <v>1252</v>
      </c>
      <c r="L39" s="1190">
        <f t="shared" si="9"/>
        <v>28020.6</v>
      </c>
      <c r="M39" s="1190">
        <f>4336.1+1238599.2</f>
        <v>1242935.3</v>
      </c>
      <c r="N39" s="321">
        <v>94783.6</v>
      </c>
      <c r="O39" s="321">
        <f t="shared" si="16"/>
        <v>1337718.9000000001</v>
      </c>
      <c r="P39" s="321">
        <f t="shared" si="11"/>
        <v>1953590.7000000002</v>
      </c>
      <c r="Q39" s="321">
        <v>-311011.8</v>
      </c>
      <c r="R39" s="321">
        <f t="shared" si="12"/>
        <v>1642578.9000000001</v>
      </c>
      <c r="S39" s="321">
        <f t="shared" si="13"/>
        <v>1993234.6</v>
      </c>
      <c r="T39" s="385" t="s">
        <v>610</v>
      </c>
      <c r="U39" s="953"/>
      <c r="V39" s="815"/>
      <c r="W39" s="953"/>
      <c r="X39" s="953"/>
    </row>
    <row r="40" spans="1:24" s="175" customFormat="1" ht="11.85" customHeight="1">
      <c r="A40" s="424" t="s">
        <v>611</v>
      </c>
      <c r="B40" s="1191">
        <f>351813.1+10853.3</f>
        <v>362666.39999999997</v>
      </c>
      <c r="C40" s="1191">
        <v>-330.4</v>
      </c>
      <c r="D40" s="1194">
        <v>-14178.7</v>
      </c>
      <c r="E40" s="1194">
        <f t="shared" si="7"/>
        <v>348157.3</v>
      </c>
      <c r="F40" s="1191">
        <f>8058.5+223377.4</f>
        <v>231435.9</v>
      </c>
      <c r="G40" s="1191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91">
        <v>1251.7</v>
      </c>
      <c r="L40" s="1191">
        <f t="shared" si="9"/>
        <v>27594.300000000003</v>
      </c>
      <c r="M40" s="1191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9" t="s">
        <v>611</v>
      </c>
      <c r="U40" s="953"/>
      <c r="V40" s="815"/>
      <c r="W40" s="953"/>
      <c r="X40" s="953"/>
    </row>
    <row r="41" spans="1:24" s="175" customFormat="1" ht="11.85" customHeight="1">
      <c r="A41" s="438" t="s">
        <v>603</v>
      </c>
      <c r="B41" s="1190">
        <f>344756+11645.3</f>
        <v>356401.3</v>
      </c>
      <c r="C41" s="1190">
        <v>-331.7</v>
      </c>
      <c r="D41" s="1195">
        <v>-14016.9</v>
      </c>
      <c r="E41" s="1195">
        <f t="shared" si="7"/>
        <v>342052.7</v>
      </c>
      <c r="F41" s="1190">
        <f>12804.3+222662.3</f>
        <v>235466.59999999998</v>
      </c>
      <c r="G41" s="1190">
        <v>-428.4</v>
      </c>
      <c r="H41" s="321">
        <v>360648.1</v>
      </c>
      <c r="I41" s="321">
        <f t="shared" si="15"/>
        <v>595686.29999999993</v>
      </c>
      <c r="J41" s="321">
        <f>1599.3+24567.3</f>
        <v>26166.6</v>
      </c>
      <c r="K41" s="1190">
        <v>1249.7</v>
      </c>
      <c r="L41" s="1190">
        <f t="shared" si="9"/>
        <v>27416.3</v>
      </c>
      <c r="M41" s="1190">
        <f>4347.2+1264053.3</f>
        <v>1268400.5</v>
      </c>
      <c r="N41" s="321">
        <v>96191.3</v>
      </c>
      <c r="O41" s="321">
        <f t="shared" si="16"/>
        <v>1364591.8</v>
      </c>
      <c r="P41" s="321">
        <f>I41+L41+O41</f>
        <v>1987694.4</v>
      </c>
      <c r="Q41" s="321">
        <v>-314673.90000000002</v>
      </c>
      <c r="R41" s="321">
        <f t="shared" si="12"/>
        <v>1673020.5</v>
      </c>
      <c r="S41" s="321">
        <f t="shared" si="13"/>
        <v>2015073.2</v>
      </c>
      <c r="T41" s="385" t="s">
        <v>603</v>
      </c>
      <c r="U41" s="953"/>
      <c r="V41" s="815"/>
      <c r="W41" s="953"/>
      <c r="X41" s="953"/>
    </row>
    <row r="42" spans="1:24" s="175" customFormat="1" ht="11.85" customHeight="1">
      <c r="A42" s="424" t="s">
        <v>612</v>
      </c>
      <c r="B42" s="536">
        <f>337440.8+13395.9</f>
        <v>350836.7</v>
      </c>
      <c r="C42" s="536">
        <v>-320.7</v>
      </c>
      <c r="D42" s="1487">
        <v>-13877.9</v>
      </c>
      <c r="E42" s="1487">
        <f t="shared" si="7"/>
        <v>336638.10000000003</v>
      </c>
      <c r="F42" s="536">
        <f>32555.3+221958.3</f>
        <v>254513.59999999998</v>
      </c>
      <c r="G42" s="536">
        <v>-489.8</v>
      </c>
      <c r="H42" s="252">
        <v>361662.7</v>
      </c>
      <c r="I42" s="252">
        <f t="shared" si="15"/>
        <v>615686.5</v>
      </c>
      <c r="J42" s="252">
        <f>1600.9+24755.5</f>
        <v>26356.400000000001</v>
      </c>
      <c r="K42" s="536">
        <v>1266.5999999999999</v>
      </c>
      <c r="L42" s="536">
        <f t="shared" si="9"/>
        <v>27623</v>
      </c>
      <c r="M42" s="536">
        <f>4380.9+1283385.6</f>
        <v>1287766.5</v>
      </c>
      <c r="N42" s="252">
        <v>97230.2</v>
      </c>
      <c r="O42" s="252">
        <f t="shared" si="16"/>
        <v>1384996.7</v>
      </c>
      <c r="P42" s="252">
        <f>I42+L42+O42</f>
        <v>2028306.2</v>
      </c>
      <c r="Q42" s="252">
        <v>-313717.3</v>
      </c>
      <c r="R42" s="252">
        <f t="shared" si="12"/>
        <v>1714588.9</v>
      </c>
      <c r="S42" s="252">
        <f t="shared" si="13"/>
        <v>2051227</v>
      </c>
      <c r="T42" s="419" t="s">
        <v>612</v>
      </c>
      <c r="U42" s="953"/>
      <c r="V42" s="815"/>
      <c r="W42" s="953"/>
      <c r="X42" s="953"/>
    </row>
    <row r="43" spans="1:24" s="175" customFormat="1" ht="11.85" customHeight="1">
      <c r="A43" s="438" t="s">
        <v>613</v>
      </c>
      <c r="B43" s="559">
        <f>343397.9+11397.9</f>
        <v>354795.80000000005</v>
      </c>
      <c r="C43" s="559">
        <v>-293.7</v>
      </c>
      <c r="D43" s="1510">
        <v>-13761.3</v>
      </c>
      <c r="E43" s="559">
        <f t="shared" si="7"/>
        <v>340740.80000000005</v>
      </c>
      <c r="F43" s="559">
        <f>28363.5+222792.2</f>
        <v>251155.7</v>
      </c>
      <c r="G43" s="559">
        <v>-486.5</v>
      </c>
      <c r="H43" s="317">
        <v>362301.4</v>
      </c>
      <c r="I43" s="317">
        <f t="shared" si="15"/>
        <v>612970.60000000009</v>
      </c>
      <c r="J43" s="317">
        <f>1602.5+25837.4</f>
        <v>27439.9</v>
      </c>
      <c r="K43" s="559">
        <v>1266.9000000000001</v>
      </c>
      <c r="L43" s="559">
        <f t="shared" si="9"/>
        <v>28706.800000000003</v>
      </c>
      <c r="M43" s="559">
        <f>4400.2+1297479.4</f>
        <v>1301879.5999999999</v>
      </c>
      <c r="N43" s="317">
        <v>97067.7</v>
      </c>
      <c r="O43" s="317">
        <f t="shared" si="16"/>
        <v>1398947.2999999998</v>
      </c>
      <c r="P43" s="317">
        <f>I43+L43+O43</f>
        <v>2040624.7</v>
      </c>
      <c r="Q43" s="317">
        <v>-329392.2</v>
      </c>
      <c r="R43" s="317">
        <f t="shared" si="12"/>
        <v>1711232.5</v>
      </c>
      <c r="S43" s="317">
        <f t="shared" si="13"/>
        <v>2051973.3</v>
      </c>
      <c r="T43" s="385" t="s">
        <v>613</v>
      </c>
      <c r="U43" s="953"/>
      <c r="V43" s="815"/>
      <c r="W43" s="953"/>
      <c r="X43" s="953"/>
    </row>
    <row r="44" spans="1:24" s="175" customFormat="1" ht="11.85" customHeight="1">
      <c r="A44" s="424" t="s">
        <v>604</v>
      </c>
      <c r="B44" s="536">
        <f>347757.7+16541.1</f>
        <v>364298.8</v>
      </c>
      <c r="C44" s="536">
        <v>-309.5</v>
      </c>
      <c r="D44" s="1487">
        <v>-13446.1</v>
      </c>
      <c r="E44" s="1487">
        <f t="shared" si="7"/>
        <v>350543.2</v>
      </c>
      <c r="F44" s="536">
        <f>54930+228359.1</f>
        <v>283289.09999999998</v>
      </c>
      <c r="G44" s="536">
        <v>-328</v>
      </c>
      <c r="H44" s="252">
        <v>364051</v>
      </c>
      <c r="I44" s="252">
        <f t="shared" si="15"/>
        <v>647012.1</v>
      </c>
      <c r="J44" s="252">
        <f>1604+26171.1</f>
        <v>27775.1</v>
      </c>
      <c r="K44" s="536">
        <v>1284.8</v>
      </c>
      <c r="L44" s="536">
        <f t="shared" si="9"/>
        <v>29059.899999999998</v>
      </c>
      <c r="M44" s="536">
        <f>4489.7+1323854.9</f>
        <v>1328344.5999999999</v>
      </c>
      <c r="N44" s="252">
        <v>97727.3</v>
      </c>
      <c r="O44" s="252">
        <f t="shared" si="16"/>
        <v>1426071.9</v>
      </c>
      <c r="P44" s="252">
        <f>I44+L44+O44</f>
        <v>2102143.9</v>
      </c>
      <c r="Q44" s="252">
        <v>-354713.8</v>
      </c>
      <c r="R44" s="252">
        <f t="shared" ref="R44:R49" si="17">P44+Q44</f>
        <v>1747430.0999999999</v>
      </c>
      <c r="S44" s="252">
        <f t="shared" ref="S44:S49" si="18">E44+R44</f>
        <v>2097973.2999999998</v>
      </c>
      <c r="T44" s="419" t="s">
        <v>604</v>
      </c>
      <c r="U44" s="953"/>
      <c r="V44" s="815"/>
      <c r="W44" s="953"/>
      <c r="X44" s="953"/>
    </row>
    <row r="45" spans="1:24" s="175" customFormat="1" ht="11.85" customHeight="1">
      <c r="A45" s="1628" t="s">
        <v>2482</v>
      </c>
      <c r="B45" s="559"/>
      <c r="C45" s="559"/>
      <c r="D45" s="1510"/>
      <c r="E45" s="1510"/>
      <c r="F45" s="559"/>
      <c r="G45" s="559"/>
      <c r="H45" s="317"/>
      <c r="I45" s="317"/>
      <c r="J45" s="317"/>
      <c r="K45" s="559"/>
      <c r="L45" s="559"/>
      <c r="M45" s="559"/>
      <c r="N45" s="317"/>
      <c r="O45" s="317"/>
      <c r="P45" s="317"/>
      <c r="Q45" s="317"/>
      <c r="R45" s="317"/>
      <c r="S45" s="317"/>
      <c r="T45" s="395" t="s">
        <v>2482</v>
      </c>
      <c r="U45" s="953"/>
      <c r="V45" s="815"/>
      <c r="W45" s="953"/>
      <c r="X45" s="953"/>
    </row>
    <row r="46" spans="1:24" s="175" customFormat="1" ht="11.85" customHeight="1">
      <c r="A46" s="424" t="s">
        <v>606</v>
      </c>
      <c r="B46" s="536">
        <f>341807.3+15759.5</f>
        <v>357566.8</v>
      </c>
      <c r="C46" s="536">
        <v>-314.8</v>
      </c>
      <c r="D46" s="1487">
        <v>-13404.7</v>
      </c>
      <c r="E46" s="1487">
        <f t="shared" si="7"/>
        <v>343847.3</v>
      </c>
      <c r="F46" s="536">
        <f>52719.2+229028.7</f>
        <v>281747.90000000002</v>
      </c>
      <c r="G46" s="536">
        <v>-132.6</v>
      </c>
      <c r="H46" s="252">
        <v>364444.1</v>
      </c>
      <c r="I46" s="252">
        <f t="shared" si="15"/>
        <v>646059.4</v>
      </c>
      <c r="J46" s="252">
        <f>1596.1+27173.8</f>
        <v>28769.899999999998</v>
      </c>
      <c r="K46" s="536">
        <v>1285.5</v>
      </c>
      <c r="L46" s="536">
        <f t="shared" si="9"/>
        <v>30055.399999999998</v>
      </c>
      <c r="M46" s="536">
        <f>4471.5+1326399.9</f>
        <v>1330871.3999999999</v>
      </c>
      <c r="N46" s="252">
        <v>97774.6</v>
      </c>
      <c r="O46" s="252">
        <f t="shared" si="16"/>
        <v>1428646</v>
      </c>
      <c r="P46" s="252">
        <f>I46+L46+O46</f>
        <v>2104760.7999999998</v>
      </c>
      <c r="Q46" s="252">
        <v>-349624.5</v>
      </c>
      <c r="R46" s="252">
        <f t="shared" si="17"/>
        <v>1755136.2999999998</v>
      </c>
      <c r="S46" s="252">
        <f t="shared" si="18"/>
        <v>2098983.5999999996</v>
      </c>
      <c r="T46" s="419" t="s">
        <v>606</v>
      </c>
      <c r="U46" s="953"/>
      <c r="V46" s="815"/>
      <c r="W46" s="953"/>
      <c r="X46" s="953"/>
    </row>
    <row r="47" spans="1:24" s="175" customFormat="1" ht="11.85" customHeight="1">
      <c r="A47" s="438" t="s">
        <v>607</v>
      </c>
      <c r="B47" s="559">
        <f>323765.9+16646.2</f>
        <v>340412.10000000003</v>
      </c>
      <c r="C47" s="559">
        <v>-307.7</v>
      </c>
      <c r="D47" s="1510">
        <v>-13232.5</v>
      </c>
      <c r="E47" s="1510">
        <f t="shared" si="7"/>
        <v>326871.90000000002</v>
      </c>
      <c r="F47" s="559">
        <f>61832.1+226568.9</f>
        <v>288401</v>
      </c>
      <c r="G47" s="559">
        <v>66.900000000000006</v>
      </c>
      <c r="H47" s="317">
        <v>364452.2</v>
      </c>
      <c r="I47" s="317">
        <f t="shared" si="15"/>
        <v>652920.10000000009</v>
      </c>
      <c r="J47" s="317">
        <f>1597.7+27709.3</f>
        <v>29307</v>
      </c>
      <c r="K47" s="559">
        <v>1282.9000000000001</v>
      </c>
      <c r="L47" s="559">
        <f t="shared" si="9"/>
        <v>30589.9</v>
      </c>
      <c r="M47" s="559">
        <f>4484.6+1336832.3</f>
        <v>1341316.9000000001</v>
      </c>
      <c r="N47" s="317">
        <v>98060.800000000003</v>
      </c>
      <c r="O47" s="317">
        <f t="shared" si="16"/>
        <v>1439377.7000000002</v>
      </c>
      <c r="P47" s="317">
        <f>I47+L47+O47</f>
        <v>2122887.7000000002</v>
      </c>
      <c r="Q47" s="317">
        <v>-346986.6</v>
      </c>
      <c r="R47" s="317">
        <f t="shared" si="17"/>
        <v>1775901.1</v>
      </c>
      <c r="S47" s="317">
        <f t="shared" si="18"/>
        <v>2102773</v>
      </c>
      <c r="T47" s="385" t="s">
        <v>607</v>
      </c>
      <c r="U47" s="953"/>
      <c r="V47" s="815"/>
      <c r="W47" s="953"/>
      <c r="X47" s="953"/>
    </row>
    <row r="48" spans="1:24" s="175" customFormat="1" ht="11.85" customHeight="1">
      <c r="A48" s="424" t="s">
        <v>601</v>
      </c>
      <c r="B48" s="536">
        <f>318925.9+16403.7</f>
        <v>335329.60000000003</v>
      </c>
      <c r="C48" s="536">
        <v>-323.89999999999998</v>
      </c>
      <c r="D48" s="1487">
        <v>-13061.2</v>
      </c>
      <c r="E48" s="1487">
        <f t="shared" si="7"/>
        <v>321944.50000000006</v>
      </c>
      <c r="F48" s="536">
        <f>71663.4+220805.3</f>
        <v>292468.69999999995</v>
      </c>
      <c r="G48" s="536">
        <v>-97.3</v>
      </c>
      <c r="H48" s="252">
        <v>364381.5</v>
      </c>
      <c r="I48" s="252">
        <f t="shared" si="15"/>
        <v>656752.89999999991</v>
      </c>
      <c r="J48" s="252">
        <f>1599.3+27135.6</f>
        <v>28734.899999999998</v>
      </c>
      <c r="K48" s="536">
        <v>1285</v>
      </c>
      <c r="L48" s="536">
        <f t="shared" si="9"/>
        <v>30019.899999999998</v>
      </c>
      <c r="M48" s="536">
        <f>4499.1+1353653</f>
        <v>1358152.1</v>
      </c>
      <c r="N48" s="252">
        <v>98350.1</v>
      </c>
      <c r="O48" s="252">
        <f t="shared" si="16"/>
        <v>1456502.2000000002</v>
      </c>
      <c r="P48" s="252">
        <f>I48+L48+O48</f>
        <v>2143275</v>
      </c>
      <c r="Q48" s="252">
        <v>-350386.3</v>
      </c>
      <c r="R48" s="252">
        <f t="shared" si="17"/>
        <v>1792888.7</v>
      </c>
      <c r="S48" s="252">
        <f t="shared" si="18"/>
        <v>2114833.2000000002</v>
      </c>
      <c r="T48" s="419" t="s">
        <v>601</v>
      </c>
      <c r="U48" s="953"/>
      <c r="V48" s="815"/>
      <c r="W48" s="953"/>
      <c r="X48" s="953"/>
    </row>
    <row r="49" spans="1:24" s="175" customFormat="1" ht="11.85" customHeight="1" thickBot="1">
      <c r="A49" s="942" t="s">
        <v>608</v>
      </c>
      <c r="B49" s="1687">
        <f>309398.3+16736.2</f>
        <v>326134.5</v>
      </c>
      <c r="C49" s="1687">
        <v>-280.2</v>
      </c>
      <c r="D49" s="1688">
        <v>-12962.1</v>
      </c>
      <c r="E49" s="1688">
        <f t="shared" si="7"/>
        <v>312892.2</v>
      </c>
      <c r="F49" s="1687">
        <f>83478.7+221653.6</f>
        <v>305132.3</v>
      </c>
      <c r="G49" s="1687">
        <v>142.1</v>
      </c>
      <c r="H49" s="695">
        <v>363418.4</v>
      </c>
      <c r="I49" s="695">
        <f t="shared" si="15"/>
        <v>668692.80000000005</v>
      </c>
      <c r="J49" s="695">
        <f>1600.9+27781.4</f>
        <v>29382.300000000003</v>
      </c>
      <c r="K49" s="1687">
        <v>1283</v>
      </c>
      <c r="L49" s="1687">
        <f t="shared" si="9"/>
        <v>30665.300000000003</v>
      </c>
      <c r="M49" s="1687">
        <f>4527.5+1363929</f>
        <v>1368456.5</v>
      </c>
      <c r="N49" s="695">
        <v>99662.6</v>
      </c>
      <c r="O49" s="695">
        <f t="shared" si="16"/>
        <v>1468119.1</v>
      </c>
      <c r="P49" s="695">
        <f>I49+L49+O49</f>
        <v>2167477.2000000002</v>
      </c>
      <c r="Q49" s="695">
        <v>-365554.7</v>
      </c>
      <c r="R49" s="695">
        <f t="shared" si="17"/>
        <v>1801922.5000000002</v>
      </c>
      <c r="S49" s="695">
        <f t="shared" si="18"/>
        <v>2114814.7000000002</v>
      </c>
      <c r="T49" s="943" t="s">
        <v>608</v>
      </c>
      <c r="U49" s="953"/>
      <c r="V49" s="815"/>
      <c r="W49" s="953"/>
      <c r="X49" s="953"/>
    </row>
    <row r="50" spans="1:24" ht="10.5" customHeight="1">
      <c r="A50" s="204" t="s">
        <v>1509</v>
      </c>
      <c r="B50" s="1935" t="s">
        <v>1368</v>
      </c>
      <c r="C50" s="1935"/>
      <c r="D50" s="1935"/>
      <c r="E50" s="1935"/>
      <c r="F50" s="1935"/>
      <c r="G50" s="287"/>
      <c r="H50" s="1630" t="s">
        <v>1469</v>
      </c>
      <c r="I50" s="877"/>
      <c r="J50" s="934"/>
      <c r="K50" s="934"/>
      <c r="L50" s="934"/>
      <c r="M50" s="203" t="s">
        <v>221</v>
      </c>
      <c r="N50" s="1953" t="s">
        <v>1500</v>
      </c>
      <c r="O50" s="1953"/>
      <c r="P50" s="1953"/>
      <c r="Q50" s="1953"/>
      <c r="R50" s="1953"/>
      <c r="S50" s="1953"/>
      <c r="T50" s="1953"/>
      <c r="U50" s="902"/>
      <c r="V50" s="902"/>
      <c r="W50" s="953"/>
      <c r="X50" s="902"/>
    </row>
    <row r="51" spans="1:24" ht="9" customHeight="1">
      <c r="B51" s="902"/>
      <c r="C51" s="902"/>
      <c r="D51" s="1374"/>
      <c r="E51" s="934"/>
      <c r="F51" s="1059"/>
      <c r="G51" s="934"/>
      <c r="H51" s="1637"/>
      <c r="I51" s="1488"/>
      <c r="J51" s="1489"/>
      <c r="K51" s="1489"/>
      <c r="L51" s="1489"/>
      <c r="M51" s="576"/>
      <c r="N51" s="1919" t="s">
        <v>1551</v>
      </c>
      <c r="O51" s="1919"/>
      <c r="P51" s="1919"/>
      <c r="Q51" s="1919"/>
      <c r="R51" s="1919"/>
      <c r="S51" s="1919"/>
      <c r="T51" s="1919"/>
      <c r="U51" s="1266"/>
      <c r="V51" s="902"/>
      <c r="W51" s="902"/>
      <c r="X51" s="902"/>
    </row>
    <row r="52" spans="1:24" ht="9" customHeight="1">
      <c r="B52" s="938"/>
      <c r="C52" s="902"/>
      <c r="D52" s="902"/>
      <c r="E52" s="934"/>
      <c r="F52" s="1060"/>
      <c r="G52" s="1374"/>
      <c r="H52" s="1638"/>
      <c r="I52" s="1488"/>
      <c r="J52" s="1490"/>
      <c r="K52" s="1490"/>
      <c r="L52" s="1490"/>
      <c r="N52" s="1099" t="s">
        <v>1452</v>
      </c>
      <c r="O52" s="693"/>
      <c r="P52" s="693"/>
      <c r="Q52" s="287" t="s">
        <v>1451</v>
      </c>
      <c r="R52" s="693"/>
      <c r="S52" s="693"/>
      <c r="T52" s="1389"/>
      <c r="U52" s="902"/>
      <c r="V52" s="902"/>
      <c r="W52" s="902"/>
      <c r="X52" s="902"/>
    </row>
    <row r="53" spans="1:24" ht="8.25" customHeight="1">
      <c r="B53" s="902"/>
      <c r="C53" s="902"/>
      <c r="D53" s="902"/>
      <c r="E53" s="934"/>
      <c r="F53" s="1060"/>
      <c r="G53" s="902"/>
      <c r="H53" s="1490"/>
      <c r="I53" s="1488"/>
      <c r="J53" s="1490"/>
      <c r="K53" s="1490"/>
      <c r="L53" s="1490"/>
      <c r="M53" s="204" t="s">
        <v>222</v>
      </c>
      <c r="N53" s="1935" t="s">
        <v>1368</v>
      </c>
      <c r="O53" s="1935"/>
      <c r="P53" s="1935"/>
      <c r="Q53" s="1935"/>
      <c r="R53" s="1935"/>
      <c r="S53" s="1935"/>
      <c r="T53" s="1935"/>
      <c r="U53" s="189"/>
      <c r="V53" s="902"/>
      <c r="W53" s="902"/>
      <c r="X53" s="902"/>
    </row>
    <row r="54" spans="1:24" ht="12" customHeight="1">
      <c r="B54" s="902"/>
      <c r="C54" s="902"/>
      <c r="D54" s="902"/>
      <c r="E54" s="934"/>
      <c r="F54" s="1060"/>
      <c r="G54" s="902"/>
      <c r="H54" s="902"/>
      <c r="I54" s="1488"/>
      <c r="K54" s="944"/>
      <c r="N54" s="902"/>
      <c r="O54" s="902"/>
      <c r="P54" s="902"/>
      <c r="Q54" s="902"/>
      <c r="R54" s="902"/>
      <c r="S54" s="902"/>
      <c r="T54" s="903"/>
      <c r="U54" s="189"/>
      <c r="V54" s="902"/>
      <c r="X54" s="902"/>
    </row>
    <row r="55" spans="1:24" ht="12" customHeight="1">
      <c r="B55" s="902"/>
      <c r="C55" s="902"/>
      <c r="D55" s="902"/>
      <c r="I55" s="877"/>
      <c r="M55" s="902"/>
      <c r="N55" s="902"/>
      <c r="O55" s="902"/>
      <c r="P55" s="189"/>
      <c r="Q55" s="902"/>
      <c r="R55" s="902"/>
      <c r="U55" s="189"/>
    </row>
    <row r="56" spans="1:24" ht="9.75" customHeight="1">
      <c r="I56" s="1404"/>
      <c r="L56" s="189"/>
      <c r="M56" s="189"/>
      <c r="N56" s="189"/>
      <c r="P56" s="189"/>
      <c r="Q56" s="189"/>
      <c r="R56" s="189"/>
      <c r="S56" s="189"/>
    </row>
    <row r="57" spans="1:24"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</row>
    <row r="58" spans="1:24">
      <c r="P58" s="189"/>
      <c r="Q58" s="902"/>
    </row>
    <row r="61" spans="1:24"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</row>
    <row r="62" spans="1:24"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</row>
    <row r="63" spans="1:24"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</row>
    <row r="64" spans="1:24"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</row>
    <row r="67" spans="2:20"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</row>
    <row r="68" spans="2:20"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</row>
    <row r="69" spans="2:20"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</row>
    <row r="70" spans="2:20"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</row>
    <row r="71" spans="2:20"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</row>
    <row r="72" spans="2:20"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</row>
    <row r="73" spans="2:20"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</row>
    <row r="74" spans="2:20"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</row>
    <row r="75" spans="2:20"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</row>
    <row r="76" spans="2:20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</row>
    <row r="77" spans="2:20"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3:T53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0:T50"/>
    <mergeCell ref="T3:T7"/>
    <mergeCell ref="P4:P6"/>
    <mergeCell ref="O5:O6"/>
    <mergeCell ref="R3:R6"/>
    <mergeCell ref="C4:C6"/>
    <mergeCell ref="B4:B6"/>
    <mergeCell ref="B50:F50"/>
    <mergeCell ref="N51:T51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49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45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2022-12-22T08:43:50Z</cp:lastPrinted>
  <dcterms:created xsi:type="dcterms:W3CDTF">2007-04-10T13:42:14Z</dcterms:created>
  <dcterms:modified xsi:type="dcterms:W3CDTF">2022-12-22T10:10:37Z</dcterms:modified>
</cp:coreProperties>
</file>